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10050" tabRatio="928" activeTab="1"/>
  </bookViews>
  <sheets>
    <sheet name="一覧" sheetId="1" r:id="rId1"/>
    <sheet name="設計シート" sheetId="2" r:id="rId2"/>
  </sheets>
  <definedNames>
    <definedName name="_xlnm.Print_Area" localSheetId="0">'一覧'!$B$1:$AO$38</definedName>
    <definedName name="_xlnm.Print_Area" localSheetId="1">'設計シート'!$A$1:$AG$643</definedName>
    <definedName name="_xlnm.Print_Titles" localSheetId="0">'一覧'!$1:$5</definedName>
  </definedNames>
  <calcPr fullCalcOnLoad="1"/>
</workbook>
</file>

<file path=xl/sharedStrings.xml><?xml version="1.0" encoding="utf-8"?>
<sst xmlns="http://schemas.openxmlformats.org/spreadsheetml/2006/main" count="1638" uniqueCount="572">
  <si>
    <t>判定</t>
  </si>
  <si>
    <t>A</t>
  </si>
  <si>
    <t>B</t>
  </si>
  <si>
    <t>L</t>
  </si>
  <si>
    <t>安定照査結果</t>
  </si>
  <si>
    <t>総合
判定</t>
  </si>
  <si>
    <t>杭一本当たりの鉛直支持力</t>
  </si>
  <si>
    <t>杭一本当たりの水平曲げ応力度</t>
  </si>
  <si>
    <t>供用時</t>
  </si>
  <si>
    <t>施工時</t>
  </si>
  <si>
    <t>計算値</t>
  </si>
  <si>
    <t>許容値</t>
  </si>
  <si>
    <t>＜目次＞</t>
  </si>
  <si>
    <t>1.　設計条件および計算結果集計</t>
  </si>
  <si>
    <t>・・・・・・</t>
  </si>
  <si>
    <t>2.　荷重の計算</t>
  </si>
  <si>
    <t>3.　基礎地盤の許容鉛直支持力の算定</t>
  </si>
  <si>
    <t>4</t>
  </si>
  <si>
    <t>4.　丸太杭の配置、杭本数、杭径、杭長の選定</t>
  </si>
  <si>
    <t>5.　丸太杭の許容鉛直周面支持力の算定</t>
  </si>
  <si>
    <t>6.　丸太杭が分担する鉛直荷重の算定</t>
  </si>
  <si>
    <t>8</t>
  </si>
  <si>
    <t>7.　丸太杭－底盤系基礎の鉛直支持力の照査</t>
  </si>
  <si>
    <t>9</t>
  </si>
  <si>
    <t>8.　基礎地盤の許容水平支持力の算定</t>
  </si>
  <si>
    <t>10</t>
  </si>
  <si>
    <t>9.　丸太杭が分担する水平荷重の算定</t>
  </si>
  <si>
    <t>11</t>
  </si>
  <si>
    <t>10.　丸太杭－底盤系基礎の水平支持力の照査</t>
  </si>
  <si>
    <t>11.　施工時の照査</t>
  </si>
  <si>
    <t>15</t>
  </si>
  <si>
    <t>1.　設計条件および計算結果集計</t>
  </si>
  <si>
    <t>1.1　設計条件</t>
  </si>
  <si>
    <t>↓青文字を入力</t>
  </si>
  <si>
    <t>(1)擁壁条件</t>
  </si>
  <si>
    <t>擁壁高H =</t>
  </si>
  <si>
    <t xml:space="preserve">(m) </t>
  </si>
  <si>
    <t>擁壁高</t>
  </si>
  <si>
    <t>擁壁製品1個当たり延長L =</t>
  </si>
  <si>
    <t xml:space="preserve">(mm) </t>
  </si>
  <si>
    <t>擁壁高照査</t>
  </si>
  <si>
    <t>擁壁底版幅B =</t>
  </si>
  <si>
    <t>擁壁底版幅</t>
  </si>
  <si>
    <t>均しﾓﾙﾀﾙ幅B =</t>
  </si>
  <si>
    <t xml:space="preserve">(mm) </t>
  </si>
  <si>
    <t>圧縮強度</t>
  </si>
  <si>
    <r>
      <t>均しﾓﾙﾀﾙ厚t</t>
    </r>
    <r>
      <rPr>
        <vertAlign val="subscript"/>
        <sz val="10"/>
        <rFont val="ＭＳ Ｐゴシック"/>
        <family val="3"/>
      </rPr>
      <t>1</t>
    </r>
    <r>
      <rPr>
        <sz val="10"/>
        <rFont val="ＭＳ Ｐゴシック"/>
        <family val="3"/>
      </rPr>
      <t xml:space="preserve"> =</t>
    </r>
  </si>
  <si>
    <t>根入れ深さ</t>
  </si>
  <si>
    <r>
      <t>基礎ｺﾝｸﾘｰﾄ幅Ｂ</t>
    </r>
    <r>
      <rPr>
        <vertAlign val="subscript"/>
        <sz val="10"/>
        <rFont val="ＭＳ Ｐゴシック"/>
        <family val="3"/>
      </rPr>
      <t>o</t>
    </r>
    <r>
      <rPr>
        <sz val="10"/>
        <rFont val="ＭＳ Ｐゴシック"/>
        <family val="3"/>
      </rPr>
      <t xml:space="preserve"> =</t>
    </r>
  </si>
  <si>
    <t>杭径：末口径</t>
  </si>
  <si>
    <r>
      <t>基礎ｺﾝｸﾘｰﾄ厚t</t>
    </r>
    <r>
      <rPr>
        <vertAlign val="subscript"/>
        <sz val="10"/>
        <rFont val="ＭＳ Ｐゴシック"/>
        <family val="3"/>
      </rPr>
      <t>2</t>
    </r>
    <r>
      <rPr>
        <sz val="10"/>
        <rFont val="ＭＳ Ｐゴシック"/>
        <family val="3"/>
      </rPr>
      <t xml:space="preserve"> =</t>
    </r>
  </si>
  <si>
    <t>ﾏﾆｭｱﾙp.56 図-6.3.1</t>
  </si>
  <si>
    <t>杭長</t>
  </si>
  <si>
    <t>(2)地盤条件</t>
  </si>
  <si>
    <t>本数</t>
  </si>
  <si>
    <t>(本)</t>
  </si>
  <si>
    <t>支持地盤</t>
  </si>
  <si>
    <t>沖積粘性土地盤</t>
  </si>
  <si>
    <t>ﾏﾆｭｱﾙp.39 図-6.1.1</t>
  </si>
  <si>
    <t>杭間隔照査</t>
  </si>
  <si>
    <t>　圧縮強度qu =</t>
  </si>
  <si>
    <r>
      <t>(kN/m</t>
    </r>
    <r>
      <rPr>
        <vertAlign val="superscript"/>
        <sz val="10"/>
        <rFont val="ＭＳ Ｐゴシック"/>
        <family val="3"/>
      </rPr>
      <t>2</t>
    </r>
    <r>
      <rPr>
        <sz val="10"/>
        <rFont val="ＭＳ Ｐゴシック"/>
        <family val="3"/>
      </rPr>
      <t>)</t>
    </r>
  </si>
  <si>
    <t>　粘着力c =</t>
  </si>
  <si>
    <r>
      <t>(kN/m</t>
    </r>
    <r>
      <rPr>
        <vertAlign val="superscript"/>
        <sz val="10"/>
        <rFont val="ＭＳ Ｐゴシック"/>
        <family val="3"/>
      </rPr>
      <t>2</t>
    </r>
    <r>
      <rPr>
        <sz val="10"/>
        <rFont val="ＭＳ Ｐゴシック"/>
        <family val="3"/>
      </rPr>
      <t>)</t>
    </r>
  </si>
  <si>
    <t>ﾏﾆｭｱﾙp.16 c=1/2qu</t>
  </si>
  <si>
    <t>項　目</t>
  </si>
  <si>
    <t>記号</t>
  </si>
  <si>
    <t>作用荷重(kN)</t>
  </si>
  <si>
    <t>作用位置(m)</t>
  </si>
  <si>
    <t>ﾓｰﾒﾝﾄ(kN･m)</t>
  </si>
  <si>
    <t>備　考</t>
  </si>
  <si>
    <t>　内部摩擦角φ=</t>
  </si>
  <si>
    <t xml:space="preserve">(°) </t>
  </si>
  <si>
    <t>鉛直V</t>
  </si>
  <si>
    <t>水平H</t>
  </si>
  <si>
    <t>x</t>
  </si>
  <si>
    <t>y</t>
  </si>
  <si>
    <t>V･x</t>
  </si>
  <si>
    <t>H･y</t>
  </si>
  <si>
    <r>
      <t>　単位体積重量γ</t>
    </r>
    <r>
      <rPr>
        <vertAlign val="subscript"/>
        <sz val="10"/>
        <rFont val="ＭＳ Ｐゴシック"/>
        <family val="3"/>
      </rPr>
      <t>1</t>
    </r>
    <r>
      <rPr>
        <sz val="10"/>
        <rFont val="ＭＳ Ｐゴシック"/>
        <family val="3"/>
      </rPr>
      <t xml:space="preserve"> =</t>
    </r>
  </si>
  <si>
    <r>
      <t>(kN/m</t>
    </r>
    <r>
      <rPr>
        <vertAlign val="superscript"/>
        <sz val="10"/>
        <rFont val="ＭＳ Ｐゴシック"/>
        <family val="3"/>
      </rPr>
      <t>3</t>
    </r>
    <r>
      <rPr>
        <sz val="10"/>
        <rFont val="ＭＳ Ｐゴシック"/>
        <family val="3"/>
      </rPr>
      <t>)</t>
    </r>
  </si>
  <si>
    <t>道示Ⅳp.47 緩い粘土14-9(地下水位以下)=5</t>
  </si>
  <si>
    <t>擁壁自重</t>
  </si>
  <si>
    <r>
      <t>W</t>
    </r>
    <r>
      <rPr>
        <vertAlign val="subscript"/>
        <sz val="10"/>
        <rFont val="ＭＳ Ｐゴシック"/>
        <family val="3"/>
      </rPr>
      <t>d1</t>
    </r>
  </si>
  <si>
    <t>－</t>
  </si>
  <si>
    <t>擁壁本体の安定計算書より</t>
  </si>
  <si>
    <t>　N値N =</t>
  </si>
  <si>
    <t>ﾏﾆｭｱﾙp.16 N=qu/12.5</t>
  </si>
  <si>
    <t>裏込め土重</t>
  </si>
  <si>
    <r>
      <t>W</t>
    </r>
    <r>
      <rPr>
        <vertAlign val="subscript"/>
        <sz val="10"/>
        <rFont val="ＭＳ Ｐゴシック"/>
        <family val="3"/>
      </rPr>
      <t>d2</t>
    </r>
  </si>
  <si>
    <r>
      <t>　地盤の変形係数E</t>
    </r>
    <r>
      <rPr>
        <vertAlign val="subscript"/>
        <sz val="10"/>
        <rFont val="ＭＳ Ｐゴシック"/>
        <family val="3"/>
      </rPr>
      <t>0</t>
    </r>
    <r>
      <rPr>
        <sz val="10"/>
        <rFont val="ＭＳ Ｐゴシック"/>
        <family val="3"/>
      </rPr>
      <t xml:space="preserve"> =</t>
    </r>
  </si>
  <si>
    <r>
      <t>道示Ⅳp.285 E</t>
    </r>
    <r>
      <rPr>
        <vertAlign val="subscript"/>
        <sz val="10"/>
        <rFont val="ＭＳ Ｐゴシック"/>
        <family val="3"/>
      </rPr>
      <t>0</t>
    </r>
    <r>
      <rPr>
        <sz val="10"/>
        <rFont val="ＭＳ Ｐゴシック"/>
        <family val="3"/>
      </rPr>
      <t>=2,800N</t>
    </r>
  </si>
  <si>
    <t>擁壁上の活荷重</t>
  </si>
  <si>
    <t>q</t>
  </si>
  <si>
    <r>
      <t>　地盤反力係数推定に用いる係数α</t>
    </r>
    <r>
      <rPr>
        <vertAlign val="subscript"/>
        <sz val="10"/>
        <rFont val="ＭＳ Ｐゴシック"/>
        <family val="3"/>
      </rPr>
      <t xml:space="preserve">0 </t>
    </r>
    <r>
      <rPr>
        <sz val="10"/>
        <rFont val="ＭＳ Ｐゴシック"/>
        <family val="3"/>
      </rPr>
      <t>=</t>
    </r>
  </si>
  <si>
    <t>道示Ⅳp.285</t>
  </si>
  <si>
    <t>主働土圧＋
活荷重による側圧</t>
  </si>
  <si>
    <r>
      <t>W</t>
    </r>
    <r>
      <rPr>
        <vertAlign val="subscript"/>
        <sz val="10"/>
        <rFont val="ＭＳ Ｐゴシック"/>
        <family val="3"/>
      </rPr>
      <t>s</t>
    </r>
    <r>
      <rPr>
        <sz val="10"/>
        <rFont val="ＭＳ Ｐゴシック"/>
        <family val="3"/>
      </rPr>
      <t>＋W</t>
    </r>
    <r>
      <rPr>
        <vertAlign val="subscript"/>
        <sz val="10"/>
        <rFont val="ＭＳ Ｐゴシック"/>
        <family val="3"/>
      </rPr>
      <t>th</t>
    </r>
  </si>
  <si>
    <r>
      <t>上載盛土の単位体積重量γ</t>
    </r>
    <r>
      <rPr>
        <vertAlign val="subscript"/>
        <sz val="10"/>
        <rFont val="ＭＳ Ｐゴシック"/>
        <family val="3"/>
      </rPr>
      <t>2</t>
    </r>
    <r>
      <rPr>
        <sz val="10"/>
        <rFont val="ＭＳ Ｐゴシック"/>
        <family val="3"/>
      </rPr>
      <t xml:space="preserve"> =</t>
    </r>
  </si>
  <si>
    <t>注）地下水位以下は水中重量を使用</t>
  </si>
  <si>
    <t>小　計</t>
  </si>
  <si>
    <t>根入れ深さh =</t>
  </si>
  <si>
    <t>注）ﾏﾆｭｱﾙp.45よりhについては現場の状況を考慮</t>
  </si>
  <si>
    <t>(3)丸太杭条件</t>
  </si>
  <si>
    <t>鉛直方向</t>
  </si>
  <si>
    <t>①</t>
  </si>
  <si>
    <t>丸太杭の樹種</t>
  </si>
  <si>
    <t>すぎ</t>
  </si>
  <si>
    <t>②</t>
  </si>
  <si>
    <r>
      <t>許容曲げ圧縮応力度σ</t>
    </r>
    <r>
      <rPr>
        <vertAlign val="subscript"/>
        <sz val="10"/>
        <rFont val="ＭＳ Ｐゴシック"/>
        <family val="3"/>
      </rPr>
      <t>ca</t>
    </r>
    <r>
      <rPr>
        <sz val="10"/>
        <rFont val="ＭＳ Ｐゴシック"/>
        <family val="3"/>
      </rPr>
      <t xml:space="preserve"> =</t>
    </r>
  </si>
  <si>
    <r>
      <t>(N/mm</t>
    </r>
    <r>
      <rPr>
        <vertAlign val="superscript"/>
        <sz val="10"/>
        <rFont val="ＭＳ Ｐゴシック"/>
        <family val="3"/>
      </rPr>
      <t>2</t>
    </r>
    <r>
      <rPr>
        <sz val="10"/>
        <rFont val="ＭＳ Ｐゴシック"/>
        <family val="3"/>
      </rPr>
      <t>)</t>
    </r>
  </si>
  <si>
    <t>ﾏﾆｭｱﾙp.3　表-1.3.2</t>
  </si>
  <si>
    <r>
      <t>許容曲げ引張応力度σ</t>
    </r>
    <r>
      <rPr>
        <vertAlign val="subscript"/>
        <sz val="10"/>
        <rFont val="ＭＳ Ｐゴシック"/>
        <family val="3"/>
      </rPr>
      <t>ba</t>
    </r>
    <r>
      <rPr>
        <sz val="10"/>
        <rFont val="ＭＳ Ｐゴシック"/>
        <family val="3"/>
      </rPr>
      <t xml:space="preserve"> =</t>
    </r>
  </si>
  <si>
    <r>
      <t>(N/mm</t>
    </r>
    <r>
      <rPr>
        <vertAlign val="superscript"/>
        <sz val="10"/>
        <rFont val="ＭＳ Ｐゴシック"/>
        <family val="3"/>
      </rPr>
      <t>2</t>
    </r>
    <r>
      <rPr>
        <sz val="10"/>
        <rFont val="ＭＳ Ｐゴシック"/>
        <family val="3"/>
      </rPr>
      <t>)</t>
    </r>
  </si>
  <si>
    <t>水平方向</t>
  </si>
  <si>
    <t>丸太杭の弾性係数E =</t>
  </si>
  <si>
    <t>ﾏﾆｭｱﾙp.3　表-1.3.3</t>
  </si>
  <si>
    <t>②</t>
  </si>
  <si>
    <r>
      <t>杭径：末口径φ</t>
    </r>
    <r>
      <rPr>
        <vertAlign val="subscript"/>
        <sz val="10"/>
        <rFont val="ＭＳ Ｐゴシック"/>
        <family val="3"/>
      </rPr>
      <t>e</t>
    </r>
    <r>
      <rPr>
        <sz val="10"/>
        <rFont val="ＭＳ Ｐゴシック"/>
        <family val="3"/>
      </rPr>
      <t>=</t>
    </r>
  </si>
  <si>
    <t>ﾏﾆｭｱﾙp.3　表-1.3.1</t>
  </si>
  <si>
    <r>
      <t>杭径：元口径φ</t>
    </r>
    <r>
      <rPr>
        <vertAlign val="subscript"/>
        <sz val="10"/>
        <rFont val="ＭＳ Ｐゴシック"/>
        <family val="3"/>
      </rPr>
      <t>0</t>
    </r>
    <r>
      <rPr>
        <sz val="10"/>
        <rFont val="ＭＳ Ｐゴシック"/>
        <family val="3"/>
      </rPr>
      <t>=</t>
    </r>
  </si>
  <si>
    <t>(mm)</t>
  </si>
  <si>
    <r>
      <t>ﾏﾆｭｱﾙｐ.26　φ</t>
    </r>
    <r>
      <rPr>
        <vertAlign val="subscript"/>
        <sz val="10"/>
        <rFont val="ＭＳ Ｐゴシック"/>
        <family val="3"/>
      </rPr>
      <t>0</t>
    </r>
    <r>
      <rPr>
        <sz val="10"/>
        <rFont val="ＭＳ Ｐゴシック"/>
        <family val="3"/>
      </rPr>
      <t>=φ</t>
    </r>
    <r>
      <rPr>
        <vertAlign val="subscript"/>
        <sz val="10"/>
        <rFont val="ＭＳ Ｐゴシック"/>
        <family val="3"/>
      </rPr>
      <t>e</t>
    </r>
    <r>
      <rPr>
        <sz val="10"/>
        <rFont val="ＭＳ Ｐゴシック"/>
        <family val="3"/>
      </rPr>
      <t>+L</t>
    </r>
    <r>
      <rPr>
        <vertAlign val="subscript"/>
        <sz val="10"/>
        <rFont val="ＭＳ Ｐゴシック"/>
        <family val="3"/>
      </rPr>
      <t>p</t>
    </r>
    <r>
      <rPr>
        <sz val="10"/>
        <rFont val="ＭＳ Ｐゴシック"/>
        <family val="3"/>
      </rPr>
      <t>×15</t>
    </r>
  </si>
  <si>
    <r>
      <t>杭長L</t>
    </r>
    <r>
      <rPr>
        <vertAlign val="subscript"/>
        <sz val="10"/>
        <rFont val="ＭＳ Ｐゴシック"/>
        <family val="3"/>
      </rPr>
      <t xml:space="preserve">p </t>
    </r>
    <r>
      <rPr>
        <sz val="10"/>
        <rFont val="ＭＳ Ｐゴシック"/>
        <family val="3"/>
      </rPr>
      <t>=</t>
    </r>
  </si>
  <si>
    <t>(m)</t>
  </si>
  <si>
    <r>
      <t>杭頭根入れ長L</t>
    </r>
    <r>
      <rPr>
        <vertAlign val="subscript"/>
        <sz val="10"/>
        <rFont val="ＭＳ Ｐゴシック"/>
        <family val="3"/>
      </rPr>
      <t>0</t>
    </r>
    <r>
      <rPr>
        <sz val="10"/>
        <rFont val="ＭＳ Ｐゴシック"/>
        <family val="3"/>
      </rPr>
      <t xml:space="preserve"> =</t>
    </r>
  </si>
  <si>
    <t>ﾏﾆｭｱﾙp.56</t>
  </si>
  <si>
    <r>
      <t>本数n</t>
    </r>
    <r>
      <rPr>
        <vertAlign val="subscript"/>
        <sz val="10"/>
        <rFont val="ＭＳ Ｐゴシック"/>
        <family val="3"/>
      </rPr>
      <t>p</t>
    </r>
    <r>
      <rPr>
        <sz val="10"/>
        <rFont val="ＭＳ Ｐゴシック"/>
        <family val="3"/>
      </rPr>
      <t xml:space="preserve"> =</t>
    </r>
  </si>
  <si>
    <t>(本)</t>
  </si>
  <si>
    <r>
      <t>杭の縁端距離l</t>
    </r>
    <r>
      <rPr>
        <vertAlign val="subscript"/>
        <sz val="10"/>
        <rFont val="ＭＳ Ｐゴシック"/>
        <family val="3"/>
      </rPr>
      <t>0</t>
    </r>
    <r>
      <rPr>
        <sz val="10"/>
        <rFont val="ＭＳ Ｐゴシック"/>
        <family val="3"/>
      </rPr>
      <t xml:space="preserve"> =</t>
    </r>
  </si>
  <si>
    <t xml:space="preserve">(mm) </t>
  </si>
  <si>
    <r>
      <t>ﾏﾆｭｱﾙp.57　1.25φ</t>
    </r>
    <r>
      <rPr>
        <vertAlign val="subscript"/>
        <sz val="10"/>
        <rFont val="ＭＳ Ｐゴシック"/>
        <family val="3"/>
      </rPr>
      <t>0</t>
    </r>
    <r>
      <rPr>
        <sz val="10"/>
        <rFont val="ＭＳ Ｐゴシック"/>
        <family val="3"/>
      </rPr>
      <t>程度</t>
    </r>
  </si>
  <si>
    <t>1.2　計算結果集計</t>
  </si>
  <si>
    <t>表-1(a)　計算結果集計表（鉛直方向）</t>
  </si>
  <si>
    <t>計算
状態</t>
  </si>
  <si>
    <t>荷重ケース</t>
  </si>
  <si>
    <t>（擁壁製品1個当たり、擁壁延長 L=</t>
  </si>
  <si>
    <t>m）</t>
  </si>
  <si>
    <t>鉛直荷重
ΣV
(kN)</t>
  </si>
  <si>
    <r>
      <t>基礎地盤の許容鉛直支持力
R</t>
    </r>
    <r>
      <rPr>
        <vertAlign val="subscript"/>
        <sz val="10"/>
        <rFont val="ＭＳ Ｐゴシック"/>
        <family val="3"/>
      </rPr>
      <t>Vba</t>
    </r>
    <r>
      <rPr>
        <sz val="10"/>
        <rFont val="ＭＳ Ｐゴシック"/>
        <family val="3"/>
      </rPr>
      <t xml:space="preserve">
(kN)</t>
    </r>
  </si>
  <si>
    <r>
      <t>丸太杭に作用する鉛直荷重
V</t>
    </r>
    <r>
      <rPr>
        <vertAlign val="subscript"/>
        <sz val="10"/>
        <rFont val="ＭＳ Ｐゴシック"/>
        <family val="3"/>
      </rPr>
      <t>p</t>
    </r>
    <r>
      <rPr>
        <sz val="10"/>
        <rFont val="ＭＳ Ｐゴシック"/>
        <family val="3"/>
      </rPr>
      <t xml:space="preserve">
(kN)</t>
    </r>
  </si>
  <si>
    <r>
      <t>i番目の丸太杭一本に作用する鉛直荷重
V</t>
    </r>
    <r>
      <rPr>
        <vertAlign val="subscript"/>
        <sz val="10"/>
        <rFont val="ＭＳ Ｐゴシック"/>
        <family val="3"/>
      </rPr>
      <t>pi</t>
    </r>
    <r>
      <rPr>
        <sz val="10"/>
        <rFont val="ＭＳ Ｐゴシック"/>
        <family val="3"/>
      </rPr>
      <t xml:space="preserve">
(kN)</t>
    </r>
  </si>
  <si>
    <r>
      <t>i番目の丸太杭一本の許容鉛直周面支持力
R</t>
    </r>
    <r>
      <rPr>
        <vertAlign val="subscript"/>
        <sz val="10"/>
        <rFont val="ＭＳ Ｐゴシック"/>
        <family val="3"/>
      </rPr>
      <t>Vpai</t>
    </r>
    <r>
      <rPr>
        <sz val="10"/>
        <rFont val="ＭＳ Ｐゴシック"/>
        <family val="3"/>
      </rPr>
      <t xml:space="preserve">
(kN)</t>
    </r>
  </si>
  <si>
    <r>
      <t xml:space="preserve">
V</t>
    </r>
    <r>
      <rPr>
        <vertAlign val="subscript"/>
        <sz val="10"/>
        <rFont val="ＭＳ Ｐゴシック"/>
        <family val="3"/>
      </rPr>
      <t>pi</t>
    </r>
    <r>
      <rPr>
        <sz val="10"/>
        <rFont val="ＭＳ Ｐゴシック"/>
        <family val="3"/>
      </rPr>
      <t xml:space="preserve"> ≦ R</t>
    </r>
    <r>
      <rPr>
        <vertAlign val="subscript"/>
        <sz val="10"/>
        <rFont val="ＭＳ Ｐゴシック"/>
        <family val="3"/>
      </rPr>
      <t xml:space="preserve">vpai
</t>
    </r>
  </si>
  <si>
    <t>注：荷重ケース①、②はﾏﾆｭｱﾙp.55の図-6.2.7より</t>
  </si>
  <si>
    <t>表-1(b)　計算結果集計表（水平方向）</t>
  </si>
  <si>
    <t>計算状態</t>
  </si>
  <si>
    <t>水平荷重
ΣH
(kN)</t>
  </si>
  <si>
    <r>
      <t>基礎地盤の許容水平支持力
R</t>
    </r>
    <r>
      <rPr>
        <vertAlign val="subscript"/>
        <sz val="10"/>
        <rFont val="ＭＳ Ｐゴシック"/>
        <family val="3"/>
      </rPr>
      <t>Hba</t>
    </r>
    <r>
      <rPr>
        <sz val="10"/>
        <rFont val="ＭＳ Ｐゴシック"/>
        <family val="3"/>
      </rPr>
      <t xml:space="preserve">
(kN)</t>
    </r>
  </si>
  <si>
    <r>
      <t>丸太杭に作用する水平荷重
H</t>
    </r>
    <r>
      <rPr>
        <vertAlign val="subscript"/>
        <sz val="10"/>
        <rFont val="ＭＳ Ｐゴシック"/>
        <family val="3"/>
      </rPr>
      <t>p</t>
    </r>
    <r>
      <rPr>
        <sz val="10"/>
        <rFont val="ＭＳ Ｐゴシック"/>
        <family val="3"/>
      </rPr>
      <t xml:space="preserve">
(kN)</t>
    </r>
  </si>
  <si>
    <r>
      <t>丸太杭の曲げ応力度
（上段：圧縮、下段：引張）
|σ|
(N/mm</t>
    </r>
    <r>
      <rPr>
        <vertAlign val="superscript"/>
        <sz val="10"/>
        <rFont val="ＭＳ Ｐゴシック"/>
        <family val="3"/>
      </rPr>
      <t>2</t>
    </r>
    <r>
      <rPr>
        <sz val="10"/>
        <rFont val="ＭＳ Ｐゴシック"/>
        <family val="3"/>
      </rPr>
      <t>)</t>
    </r>
  </si>
  <si>
    <r>
      <t>丸太杭の許容曲げ応力度
上段：圧縮
下段：引張
|σ</t>
    </r>
    <r>
      <rPr>
        <vertAlign val="subscript"/>
        <sz val="10"/>
        <rFont val="ＭＳ Ｐゴシック"/>
        <family val="3"/>
      </rPr>
      <t>a</t>
    </r>
    <r>
      <rPr>
        <sz val="10"/>
        <rFont val="ＭＳ Ｐゴシック"/>
        <family val="3"/>
      </rPr>
      <t>|
(N/mm</t>
    </r>
    <r>
      <rPr>
        <vertAlign val="superscript"/>
        <sz val="10"/>
        <rFont val="ＭＳ Ｐゴシック"/>
        <family val="3"/>
      </rPr>
      <t>2</t>
    </r>
    <r>
      <rPr>
        <sz val="10"/>
        <rFont val="ＭＳ Ｐゴシック"/>
        <family val="3"/>
      </rPr>
      <t>)</t>
    </r>
  </si>
  <si>
    <r>
      <t xml:space="preserve">
|σ| ≦ |σ</t>
    </r>
    <r>
      <rPr>
        <vertAlign val="subscript"/>
        <sz val="10"/>
        <rFont val="ＭＳ Ｐゴシック"/>
        <family val="3"/>
      </rPr>
      <t>a</t>
    </r>
    <r>
      <rPr>
        <sz val="10"/>
        <rFont val="ＭＳ Ｐゴシック"/>
        <family val="3"/>
      </rPr>
      <t xml:space="preserve">|
</t>
    </r>
  </si>
  <si>
    <t>1列目</t>
  </si>
  <si>
    <t>2列目</t>
  </si>
  <si>
    <t>注：荷重ケース①、②はﾏﾆｭｱﾙp.55の図-6.2.7より</t>
  </si>
  <si>
    <t>2.　荷重の計算</t>
  </si>
  <si>
    <r>
      <t>　ﾏﾆｭｱﾙp.54 6.2.7　荷重の考え方　を参考とし、擁壁の安定計算を行う。擁壁基礎コンクリート底面に作用する荷重は、安定計算から得られた擁壁底面作用力と均しモルタル自重および基礎コンクリート自重の和とする。荷重の作用原点は擁壁前面下端とする。なお、均しモルタル自重および基礎コンクリート自重は偏心距離e</t>
    </r>
    <r>
      <rPr>
        <vertAlign val="subscript"/>
        <sz val="10"/>
        <rFont val="ＭＳ Ｐゴシック"/>
        <family val="3"/>
      </rPr>
      <t>B</t>
    </r>
    <r>
      <rPr>
        <sz val="10"/>
        <rFont val="ＭＳ Ｐゴシック"/>
        <family val="3"/>
      </rPr>
      <t>算出時には考慮しない。</t>
    </r>
  </si>
  <si>
    <t>2.1　荷重ケース①の場合</t>
  </si>
  <si>
    <t>基礎ｺﾝｸﾘｰﾄ等自重</t>
  </si>
  <si>
    <r>
      <t>W</t>
    </r>
    <r>
      <rPr>
        <vertAlign val="subscript"/>
        <sz val="10"/>
        <rFont val="ＭＳ Ｐゴシック"/>
        <family val="3"/>
      </rPr>
      <t>d3</t>
    </r>
  </si>
  <si>
    <t>＝</t>
  </si>
  <si>
    <t>＋</t>
  </si>
  <si>
    <t>＝</t>
  </si>
  <si>
    <t>(kN)</t>
  </si>
  <si>
    <t>幅</t>
  </si>
  <si>
    <t>延長</t>
  </si>
  <si>
    <t>厚さ</t>
  </si>
  <si>
    <t>単位体積重量</t>
  </si>
  <si>
    <t>均しﾓﾙﾀﾙ自重</t>
  </si>
  <si>
    <r>
      <t>W</t>
    </r>
    <r>
      <rPr>
        <vertAlign val="subscript"/>
        <sz val="10"/>
        <rFont val="ＭＳ Ｐゴシック"/>
        <family val="3"/>
      </rPr>
      <t>d31</t>
    </r>
  </si>
  <si>
    <t>＝</t>
  </si>
  <si>
    <t>×</t>
  </si>
  <si>
    <t>×</t>
  </si>
  <si>
    <t>×</t>
  </si>
  <si>
    <t>＝</t>
  </si>
  <si>
    <t>(kN)</t>
  </si>
  <si>
    <t>基礎ｺﾝｸﾘｰﾄ自重</t>
  </si>
  <si>
    <r>
      <t>W</t>
    </r>
    <r>
      <rPr>
        <vertAlign val="subscript"/>
        <sz val="10"/>
        <rFont val="ＭＳ Ｐゴシック"/>
        <family val="3"/>
      </rPr>
      <t>d32</t>
    </r>
  </si>
  <si>
    <t>×</t>
  </si>
  <si>
    <t>＝</t>
  </si>
  <si>
    <t>(kN)</t>
  </si>
  <si>
    <t>表-2(a)　荷重集計（擁壁延長L=</t>
  </si>
  <si>
    <t>m当たり）</t>
  </si>
  <si>
    <r>
      <t>W</t>
    </r>
    <r>
      <rPr>
        <vertAlign val="subscript"/>
        <sz val="10"/>
        <rFont val="ＭＳ Ｐゴシック"/>
        <family val="3"/>
      </rPr>
      <t>d1</t>
    </r>
  </si>
  <si>
    <t>－</t>
  </si>
  <si>
    <r>
      <t>W</t>
    </r>
    <r>
      <rPr>
        <vertAlign val="subscript"/>
        <sz val="10"/>
        <rFont val="ＭＳ Ｐゴシック"/>
        <family val="3"/>
      </rPr>
      <t>d2</t>
    </r>
  </si>
  <si>
    <t>q</t>
  </si>
  <si>
    <r>
      <t>W</t>
    </r>
    <r>
      <rPr>
        <vertAlign val="subscript"/>
        <sz val="10"/>
        <rFont val="ＭＳ Ｐゴシック"/>
        <family val="3"/>
      </rPr>
      <t>s</t>
    </r>
    <r>
      <rPr>
        <sz val="10"/>
        <rFont val="ＭＳ Ｐゴシック"/>
        <family val="3"/>
      </rPr>
      <t>＋W</t>
    </r>
    <r>
      <rPr>
        <vertAlign val="subscript"/>
        <sz val="10"/>
        <rFont val="ＭＳ Ｐゴシック"/>
        <family val="3"/>
      </rPr>
      <t>th</t>
    </r>
  </si>
  <si>
    <r>
      <t>W</t>
    </r>
    <r>
      <rPr>
        <vertAlign val="subscript"/>
        <sz val="10"/>
        <rFont val="ＭＳ Ｐゴシック"/>
        <family val="3"/>
      </rPr>
      <t>d3</t>
    </r>
  </si>
  <si>
    <t>合　計</t>
  </si>
  <si>
    <r>
      <t>合力の作用位置x</t>
    </r>
    <r>
      <rPr>
        <vertAlign val="subscript"/>
        <sz val="10"/>
        <rFont val="ＭＳ Ｐゴシック"/>
        <family val="3"/>
      </rPr>
      <t>0</t>
    </r>
    <r>
      <rPr>
        <sz val="10"/>
        <rFont val="ＭＳ Ｐゴシック"/>
        <family val="3"/>
      </rPr>
      <t>は上表の小計に該当する数値を用いて以下の式から求める。</t>
    </r>
  </si>
  <si>
    <r>
      <t>ｘ</t>
    </r>
    <r>
      <rPr>
        <vertAlign val="subscript"/>
        <sz val="10"/>
        <rFont val="ＭＳ Ｐゴシック"/>
        <family val="3"/>
      </rPr>
      <t>0</t>
    </r>
  </si>
  <si>
    <t>ΣV･x</t>
  </si>
  <si>
    <t>ΣH･y</t>
  </si>
  <si>
    <t>(m)</t>
  </si>
  <si>
    <t>ΣV</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</si>
  <si>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</si>
  <si>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</si>
  <si>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2.2　荷重ケース②の場合</t>
  </si>
  <si>
    <t>表-2(b)　荷重集計（擁壁延長L=</t>
  </si>
  <si>
    <r>
      <t>ｘ</t>
    </r>
    <r>
      <rPr>
        <vertAlign val="subscript"/>
        <sz val="10"/>
        <rFont val="ＭＳ Ｐゴシック"/>
        <family val="3"/>
      </rPr>
      <t>0</t>
    </r>
  </si>
  <si>
    <t>ΣV･x</t>
  </si>
  <si>
    <t>ΣH･y</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</si>
  <si>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</si>
  <si>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</si>
  <si>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B</t>
  </si>
  <si>
    <r>
      <t>基礎地盤の許容鉛直支持力　R</t>
    </r>
    <r>
      <rPr>
        <vertAlign val="subscript"/>
        <sz val="10"/>
        <rFont val="ＭＳ Ｐゴシック"/>
        <family val="3"/>
      </rPr>
      <t>Vba</t>
    </r>
  </si>
  <si>
    <r>
      <t>R</t>
    </r>
    <r>
      <rPr>
        <vertAlign val="subscript"/>
        <sz val="10"/>
        <rFont val="ＭＳ Ｐゴシック"/>
        <family val="3"/>
      </rPr>
      <t>Vba</t>
    </r>
  </si>
  <si>
    <r>
      <t>R</t>
    </r>
    <r>
      <rPr>
        <vertAlign val="subscript"/>
        <sz val="10"/>
        <rFont val="ＭＳ Ｐゴシック"/>
        <family val="3"/>
      </rPr>
      <t>Vbu</t>
    </r>
  </si>
  <si>
    <r>
      <t>（F</t>
    </r>
    <r>
      <rPr>
        <vertAlign val="subscript"/>
        <sz val="10"/>
        <rFont val="ＭＳ Ｐゴシック"/>
        <family val="3"/>
      </rPr>
      <t>Vb</t>
    </r>
    <r>
      <rPr>
        <sz val="10"/>
        <rFont val="ＭＳ Ｐゴシック"/>
        <family val="3"/>
      </rPr>
      <t>＝3）</t>
    </r>
  </si>
  <si>
    <t>ﾏﾆｭｱﾙp.43 (6.2.2）</t>
  </si>
  <si>
    <r>
      <t>F</t>
    </r>
    <r>
      <rPr>
        <vertAlign val="subscript"/>
        <sz val="10"/>
        <rFont val="ＭＳ Ｐゴシック"/>
        <family val="3"/>
      </rPr>
      <t>Vb</t>
    </r>
  </si>
  <si>
    <r>
      <t>基礎地盤の極限鉛直支持力　R</t>
    </r>
    <r>
      <rPr>
        <vertAlign val="subscript"/>
        <sz val="10"/>
        <rFont val="ＭＳ Ｐゴシック"/>
        <family val="3"/>
      </rPr>
      <t>Vbu</t>
    </r>
  </si>
  <si>
    <t>3.1　荷重ケース①の場合</t>
  </si>
  <si>
    <t>有効載荷幅</t>
  </si>
  <si>
    <r>
      <t>B</t>
    </r>
    <r>
      <rPr>
        <vertAlign val="subscript"/>
        <sz val="10"/>
        <rFont val="ＭＳ Ｐゴシック"/>
        <family val="3"/>
      </rPr>
      <t>e</t>
    </r>
  </si>
  <si>
    <r>
      <t>2・e</t>
    </r>
    <r>
      <rPr>
        <vertAlign val="subscript"/>
        <sz val="10"/>
        <rFont val="ＭＳ Ｐゴシック"/>
        <family val="3"/>
      </rPr>
      <t>B</t>
    </r>
  </si>
  <si>
    <r>
      <t>(m</t>
    </r>
    <r>
      <rPr>
        <sz val="10"/>
        <rFont val="ＭＳ Ｐゴシック"/>
        <family val="3"/>
      </rPr>
      <t>)</t>
    </r>
  </si>
  <si>
    <t>有効載荷面積</t>
  </si>
  <si>
    <r>
      <t>Ａ</t>
    </r>
    <r>
      <rPr>
        <vertAlign val="subscript"/>
        <sz val="10"/>
        <rFont val="ＭＳ Ｐゴシック"/>
        <family val="3"/>
      </rPr>
      <t>ｅ</t>
    </r>
  </si>
  <si>
    <r>
      <t>B</t>
    </r>
    <r>
      <rPr>
        <vertAlign val="subscript"/>
        <sz val="10"/>
        <rFont val="ＭＳ Ｐゴシック"/>
        <family val="3"/>
      </rPr>
      <t>e</t>
    </r>
    <r>
      <rPr>
        <sz val="10"/>
        <rFont val="ＭＳ Ｐゴシック"/>
        <family val="3"/>
      </rPr>
      <t>・L</t>
    </r>
  </si>
  <si>
    <r>
      <t>(m</t>
    </r>
    <r>
      <rPr>
        <vertAlign val="superscript"/>
        <sz val="10"/>
        <rFont val="ＭＳ Ｐゴシック"/>
        <family val="3"/>
      </rPr>
      <t>2</t>
    </r>
    <r>
      <rPr>
        <sz val="10"/>
        <rFont val="ＭＳ Ｐゴシック"/>
        <family val="3"/>
      </rPr>
      <t>)</t>
    </r>
  </si>
  <si>
    <t>第1項</t>
  </si>
  <si>
    <t>形状係数</t>
  </si>
  <si>
    <t>根入れ深さ</t>
  </si>
  <si>
    <t>ﾓﾙﾀﾙ厚</t>
  </si>
  <si>
    <t>基礎ｺﾝ厚</t>
  </si>
  <si>
    <t>有効根入れ</t>
  </si>
  <si>
    <t>＋</t>
  </si>
  <si>
    <t>　現場の状況を考慮する。</t>
  </si>
  <si>
    <t>粘着力</t>
  </si>
  <si>
    <t>c</t>
  </si>
  <si>
    <r>
      <t>(kN/m</t>
    </r>
    <r>
      <rPr>
        <vertAlign val="superscript"/>
        <sz val="10"/>
        <rFont val="ＭＳ Ｐゴシック"/>
        <family val="3"/>
      </rPr>
      <t>2</t>
    </r>
    <r>
      <rPr>
        <sz val="10"/>
        <rFont val="ＭＳ Ｐゴシック"/>
        <family val="3"/>
      </rPr>
      <t>)</t>
    </r>
  </si>
  <si>
    <t>支持力係数</t>
  </si>
  <si>
    <t>荷重の傾斜</t>
  </si>
  <si>
    <t>第1項の計算</t>
  </si>
  <si>
    <t>第2項</t>
  </si>
  <si>
    <t>上載荷重</t>
  </si>
  <si>
    <t>第3項</t>
  </si>
  <si>
    <t>支持地盤の
単位重量</t>
  </si>
  <si>
    <r>
      <t>(kN/m</t>
    </r>
    <r>
      <rPr>
        <vertAlign val="superscript"/>
        <sz val="10"/>
        <rFont val="ＭＳ Ｐゴシック"/>
        <family val="3"/>
      </rPr>
      <t>3</t>
    </r>
    <r>
      <rPr>
        <sz val="10"/>
        <rFont val="ＭＳ Ｐゴシック"/>
        <family val="3"/>
      </rPr>
      <t>)</t>
    </r>
  </si>
  <si>
    <r>
      <t>基礎地盤の極限鉛直支持力R</t>
    </r>
    <r>
      <rPr>
        <vertAlign val="subscript"/>
        <sz val="10"/>
        <rFont val="ＭＳ Ｐゴシック"/>
        <family val="3"/>
      </rPr>
      <t>Vbu</t>
    </r>
    <r>
      <rPr>
        <sz val="10"/>
        <rFont val="ＭＳ Ｐゴシック"/>
        <family val="3"/>
      </rPr>
      <t>は、</t>
    </r>
  </si>
  <si>
    <t>（</t>
  </si>
  <si>
    <t>）</t>
  </si>
  <si>
    <r>
      <t>基礎地盤の許容鉛直支持力R</t>
    </r>
    <r>
      <rPr>
        <vertAlign val="subscript"/>
        <sz val="10"/>
        <rFont val="ＭＳ Ｐゴシック"/>
        <family val="3"/>
      </rPr>
      <t>Vba</t>
    </r>
    <r>
      <rPr>
        <sz val="10"/>
        <rFont val="ＭＳ Ｐゴシック"/>
        <family val="3"/>
      </rPr>
      <t>は、</t>
    </r>
  </si>
  <si>
    <r>
      <t>R</t>
    </r>
    <r>
      <rPr>
        <vertAlign val="subscript"/>
        <sz val="10"/>
        <rFont val="ＭＳ Ｐゴシック"/>
        <family val="3"/>
      </rPr>
      <t>Vba</t>
    </r>
  </si>
  <si>
    <t>3.2　荷重ケース②の場合</t>
  </si>
  <si>
    <r>
      <t>(m</t>
    </r>
    <r>
      <rPr>
        <vertAlign val="superscript"/>
        <sz val="10"/>
        <rFont val="ＭＳ Ｐゴシック"/>
        <family val="3"/>
      </rPr>
      <t>2</t>
    </r>
    <r>
      <rPr>
        <sz val="10"/>
        <rFont val="ＭＳ Ｐゴシック"/>
        <family val="3"/>
      </rPr>
      <t>)</t>
    </r>
  </si>
  <si>
    <t>・</t>
  </si>
  <si>
    <t>　丸太杭の配置、杭本数、杭径、杭長を設定する。丸太杭の配置は、丸太杭の配置例（ﾏﾆｭｱﾙp.57）を参考に、</t>
  </si>
  <si>
    <t>杭本数</t>
  </si>
  <si>
    <t>(本)、 末口径</t>
  </si>
  <si>
    <t>(mm)、 杭長</t>
  </si>
  <si>
    <t>(m)と仮定して計算する。</t>
  </si>
  <si>
    <t>　実際の安定計算では丸太杭の末口径や長さおよび本数の数ケースの組み合わせにおける計算を行った上で、コストを考慮して最適な寸法の杭と配置を決定する。</t>
  </si>
  <si>
    <r>
      <t>丸太杭1本の許容周面支持力　R</t>
    </r>
    <r>
      <rPr>
        <vertAlign val="subscript"/>
        <sz val="10"/>
        <rFont val="ＭＳ Ｐゴシック"/>
        <family val="3"/>
      </rPr>
      <t>Vpai</t>
    </r>
  </si>
  <si>
    <r>
      <t>R</t>
    </r>
    <r>
      <rPr>
        <vertAlign val="subscript"/>
        <sz val="10"/>
        <rFont val="ＭＳ Ｐゴシック"/>
        <family val="3"/>
      </rPr>
      <t>Vpai</t>
    </r>
  </si>
  <si>
    <r>
      <t>R</t>
    </r>
    <r>
      <rPr>
        <vertAlign val="subscript"/>
        <sz val="10"/>
        <rFont val="ＭＳ Ｐゴシック"/>
        <family val="3"/>
      </rPr>
      <t>Vpui</t>
    </r>
  </si>
  <si>
    <r>
      <t>（F</t>
    </r>
    <r>
      <rPr>
        <vertAlign val="subscript"/>
        <sz val="10"/>
        <rFont val="ＭＳ Ｐゴシック"/>
        <family val="3"/>
      </rPr>
      <t>Vｐ</t>
    </r>
    <r>
      <rPr>
        <sz val="10"/>
        <rFont val="ＭＳ Ｐゴシック"/>
        <family val="3"/>
      </rPr>
      <t>＝1.5）</t>
    </r>
  </si>
  <si>
    <t>ﾏﾆｭｱﾙp.33 (5.2.7）</t>
  </si>
  <si>
    <r>
      <t>F</t>
    </r>
    <r>
      <rPr>
        <vertAlign val="subscript"/>
        <sz val="10"/>
        <rFont val="ＭＳ Ｐゴシック"/>
        <family val="3"/>
      </rPr>
      <t>Vp</t>
    </r>
  </si>
  <si>
    <r>
      <t>丸太杭1本の極限周面支持力　R</t>
    </r>
    <r>
      <rPr>
        <vertAlign val="subscript"/>
        <sz val="10"/>
        <rFont val="ＭＳ Ｐゴシック"/>
        <family val="3"/>
      </rPr>
      <t>Vpui</t>
    </r>
  </si>
  <si>
    <r>
      <t>n</t>
    </r>
    <r>
      <rPr>
        <vertAlign val="subscript"/>
        <sz val="10"/>
        <rFont val="ＭＳ Ｐゴシック"/>
        <family val="3"/>
      </rPr>
      <t>e</t>
    </r>
  </si>
  <si>
    <t>U・</t>
  </si>
  <si>
    <t>Σ</t>
  </si>
  <si>
    <r>
      <t>（f</t>
    </r>
    <r>
      <rPr>
        <vertAlign val="subscript"/>
        <sz val="10"/>
        <rFont val="ＭＳ Ｐゴシック"/>
        <family val="3"/>
      </rPr>
      <t>i</t>
    </r>
    <r>
      <rPr>
        <sz val="10"/>
        <rFont val="ＭＳ Ｐゴシック"/>
        <family val="3"/>
      </rPr>
      <t>・L</t>
    </r>
    <r>
      <rPr>
        <vertAlign val="subscript"/>
        <sz val="10"/>
        <rFont val="ＭＳ Ｐゴシック"/>
        <family val="3"/>
      </rPr>
      <t>i</t>
    </r>
    <r>
      <rPr>
        <sz val="10"/>
        <rFont val="ＭＳ Ｐゴシック"/>
        <family val="3"/>
      </rPr>
      <t>）</t>
    </r>
  </si>
  <si>
    <t>ﾏﾆｭｱﾙp.33 (5.2.15）</t>
  </si>
  <si>
    <t>i=1</t>
  </si>
  <si>
    <t>丸太杭周長</t>
  </si>
  <si>
    <t>U</t>
  </si>
  <si>
    <r>
      <t>π・φ</t>
    </r>
    <r>
      <rPr>
        <vertAlign val="subscript"/>
        <sz val="10"/>
        <rFont val="ＭＳ Ｐゴシック"/>
        <family val="3"/>
      </rPr>
      <t>e</t>
    </r>
  </si>
  <si>
    <t>π</t>
  </si>
  <si>
    <t>周面摩擦力度</t>
  </si>
  <si>
    <t>f</t>
  </si>
  <si>
    <t>層厚</t>
  </si>
  <si>
    <t>Lp</t>
  </si>
  <si>
    <r>
      <t>L</t>
    </r>
    <r>
      <rPr>
        <vertAlign val="subscript"/>
        <sz val="10"/>
        <rFont val="ＭＳ Ｐゴシック"/>
        <family val="3"/>
      </rPr>
      <t>0</t>
    </r>
  </si>
  <si>
    <t>（杭頭根入れ長）</t>
  </si>
  <si>
    <t>層数</t>
  </si>
  <si>
    <t>(層)</t>
  </si>
  <si>
    <r>
      <t>丸太杭1本の極限周面支持力　R</t>
    </r>
    <r>
      <rPr>
        <vertAlign val="subscript"/>
        <sz val="10"/>
        <rFont val="ＭＳ Ｐゴシック"/>
        <family val="3"/>
      </rPr>
      <t>Vpui</t>
    </r>
    <r>
      <rPr>
        <sz val="10"/>
        <rFont val="ＭＳ Ｐゴシック"/>
        <family val="3"/>
      </rPr>
      <t>は、</t>
    </r>
  </si>
  <si>
    <r>
      <t>丸太杭1本の許容周面支持力　R</t>
    </r>
    <r>
      <rPr>
        <vertAlign val="subscript"/>
        <sz val="10"/>
        <rFont val="ＭＳ Ｐゴシック"/>
        <family val="3"/>
      </rPr>
      <t>vpai</t>
    </r>
    <r>
      <rPr>
        <sz val="10"/>
        <rFont val="ＭＳ Ｐゴシック"/>
        <family val="3"/>
      </rPr>
      <t>は、</t>
    </r>
  </si>
  <si>
    <t>6.1　荷重ケース①の場合</t>
  </si>
  <si>
    <r>
      <t>丸太杭が分担する鉛直荷重V</t>
    </r>
    <r>
      <rPr>
        <vertAlign val="subscript"/>
        <sz val="10"/>
        <rFont val="ＭＳ Ｐゴシック"/>
        <family val="3"/>
      </rPr>
      <t>p</t>
    </r>
    <r>
      <rPr>
        <sz val="10"/>
        <rFont val="ＭＳ Ｐゴシック"/>
        <family val="3"/>
      </rPr>
      <t>は、</t>
    </r>
  </si>
  <si>
    <r>
      <t>V</t>
    </r>
    <r>
      <rPr>
        <vertAlign val="subscript"/>
        <sz val="10"/>
        <rFont val="ＭＳ Ｐゴシック"/>
        <family val="3"/>
      </rPr>
      <t>p</t>
    </r>
  </si>
  <si>
    <r>
      <t>ΣV－R</t>
    </r>
    <r>
      <rPr>
        <vertAlign val="subscript"/>
        <sz val="10"/>
        <rFont val="ＭＳ Ｐゴシック"/>
        <family val="3"/>
      </rPr>
      <t>Vba</t>
    </r>
  </si>
  <si>
    <t>ﾏﾆｭｱﾙp.48 (6.2.7）</t>
  </si>
  <si>
    <r>
      <t>偏心を考慮したi番目の丸太杭1本が分担する鉛直荷重　V</t>
    </r>
    <r>
      <rPr>
        <vertAlign val="subscript"/>
        <sz val="10"/>
        <rFont val="ＭＳ Ｐゴシック"/>
        <family val="3"/>
      </rPr>
      <t>pi</t>
    </r>
    <r>
      <rPr>
        <sz val="10"/>
        <rFont val="ＭＳ Ｐゴシック"/>
        <family val="3"/>
      </rPr>
      <t>は、</t>
    </r>
  </si>
  <si>
    <r>
      <t>V</t>
    </r>
    <r>
      <rPr>
        <vertAlign val="subscript"/>
        <sz val="10"/>
        <rFont val="ＭＳ Ｐゴシック"/>
        <family val="3"/>
      </rPr>
      <t>pi</t>
    </r>
  </si>
  <si>
    <r>
      <t>V</t>
    </r>
    <r>
      <rPr>
        <vertAlign val="subscript"/>
        <sz val="10"/>
        <rFont val="ＭＳ Ｐゴシック"/>
        <family val="3"/>
      </rPr>
      <t>p</t>
    </r>
    <r>
      <rPr>
        <sz val="10"/>
        <rFont val="ＭＳ Ｐゴシック"/>
        <family val="3"/>
      </rPr>
      <t>・e</t>
    </r>
    <r>
      <rPr>
        <vertAlign val="subscript"/>
        <sz val="10"/>
        <rFont val="ＭＳ Ｐゴシック"/>
        <family val="3"/>
      </rPr>
      <t>B</t>
    </r>
  </si>
  <si>
    <r>
      <t>・x</t>
    </r>
    <r>
      <rPr>
        <vertAlign val="subscript"/>
        <sz val="10"/>
        <rFont val="ＭＳ Ｐゴシック"/>
        <family val="3"/>
      </rPr>
      <t>i</t>
    </r>
  </si>
  <si>
    <t>ﾏﾆｭｱﾙp.48 (6.2.11）</t>
  </si>
  <si>
    <r>
      <t>n</t>
    </r>
    <r>
      <rPr>
        <vertAlign val="subscript"/>
        <sz val="10"/>
        <rFont val="ＭＳ Ｐゴシック"/>
        <family val="3"/>
      </rPr>
      <t>p</t>
    </r>
  </si>
  <si>
    <r>
      <t>Σ（n</t>
    </r>
    <r>
      <rPr>
        <vertAlign val="subscript"/>
        <sz val="10"/>
        <rFont val="ＭＳ Ｐゴシック"/>
        <family val="3"/>
      </rPr>
      <t>i</t>
    </r>
    <r>
      <rPr>
        <sz val="10"/>
        <rFont val="ＭＳ Ｐゴシック"/>
        <family val="3"/>
      </rPr>
      <t>・x</t>
    </r>
    <r>
      <rPr>
        <vertAlign val="subscript"/>
        <sz val="10"/>
        <rFont val="ＭＳ Ｐゴシック"/>
        <family val="3"/>
      </rPr>
      <t>i</t>
    </r>
    <r>
      <rPr>
        <vertAlign val="superscript"/>
        <sz val="10"/>
        <rFont val="ＭＳ Ｐゴシック"/>
        <family val="3"/>
      </rPr>
      <t>2</t>
    </r>
    <r>
      <rPr>
        <sz val="10"/>
        <rFont val="ＭＳ Ｐゴシック"/>
        <family val="3"/>
      </rPr>
      <t>）</t>
    </r>
  </si>
  <si>
    <t>偏心量</t>
  </si>
  <si>
    <t>杭総本数</t>
  </si>
  <si>
    <t>1列目の杭本数</t>
  </si>
  <si>
    <r>
      <t>ｎ</t>
    </r>
    <r>
      <rPr>
        <vertAlign val="subscript"/>
        <sz val="10"/>
        <rFont val="ＭＳ Ｐゴシック"/>
        <family val="3"/>
      </rPr>
      <t>1</t>
    </r>
  </si>
  <si>
    <t>2列目の杭本数</t>
  </si>
  <si>
    <r>
      <t>ｎ</t>
    </r>
    <r>
      <rPr>
        <vertAlign val="subscript"/>
        <sz val="10"/>
        <rFont val="ＭＳ Ｐゴシック"/>
        <family val="3"/>
      </rPr>
      <t>2</t>
    </r>
  </si>
  <si>
    <t>杭中心までの水平距離</t>
  </si>
  <si>
    <r>
      <t>x</t>
    </r>
    <r>
      <rPr>
        <vertAlign val="subscript"/>
        <sz val="10"/>
        <rFont val="ＭＳ Ｐゴシック"/>
        <family val="3"/>
      </rPr>
      <t>1</t>
    </r>
  </si>
  <si>
    <r>
      <t>x</t>
    </r>
    <r>
      <rPr>
        <vertAlign val="subscript"/>
        <sz val="10"/>
        <rFont val="ＭＳ Ｐゴシック"/>
        <family val="3"/>
      </rPr>
      <t>2</t>
    </r>
  </si>
  <si>
    <t>1列目の丸太杭</t>
  </si>
  <si>
    <t>2列目の丸太杭</t>
  </si>
  <si>
    <r>
      <t>n</t>
    </r>
    <r>
      <rPr>
        <vertAlign val="subscript"/>
        <sz val="10"/>
        <rFont val="ＭＳ Ｐゴシック"/>
        <family val="3"/>
      </rPr>
      <t>1</t>
    </r>
  </si>
  <si>
    <r>
      <t>）</t>
    </r>
    <r>
      <rPr>
        <vertAlign val="superscript"/>
        <sz val="10"/>
        <rFont val="ＭＳ Ｐゴシック"/>
        <family val="3"/>
      </rPr>
      <t>2</t>
    </r>
  </si>
  <si>
    <r>
      <t>n</t>
    </r>
    <r>
      <rPr>
        <vertAlign val="subscript"/>
        <sz val="10"/>
        <rFont val="ＭＳ Ｐゴシック"/>
        <family val="3"/>
      </rPr>
      <t>2</t>
    </r>
  </si>
  <si>
    <r>
      <t>よって、偏心を考慮したi番目の丸太杭1本が分担する鉛直荷重V</t>
    </r>
    <r>
      <rPr>
        <vertAlign val="subscript"/>
        <sz val="10"/>
        <rFont val="ＭＳ Ｐゴシック"/>
        <family val="3"/>
      </rPr>
      <t>pi</t>
    </r>
    <r>
      <rPr>
        <sz val="10"/>
        <rFont val="ＭＳ Ｐゴシック"/>
        <family val="3"/>
      </rPr>
      <t>は</t>
    </r>
  </si>
  <si>
    <t>±</t>
  </si>
  <si>
    <t>｛</t>
  </si>
  <si>
    <t>｝</t>
  </si>
  <si>
    <t>（前面丸太杭）</t>
  </si>
  <si>
    <t>（背面丸太杭）</t>
  </si>
  <si>
    <t>6.2　荷重ケース②の場合</t>
  </si>
  <si>
    <r>
      <t>　鉛直支持力の照査は、前項で算出した偏心考慮の丸太杭1本に作用する鉛直荷重V</t>
    </r>
    <r>
      <rPr>
        <vertAlign val="subscript"/>
        <sz val="10"/>
        <rFont val="ＭＳ Ｐゴシック"/>
        <family val="3"/>
      </rPr>
      <t>pi</t>
    </r>
    <r>
      <rPr>
        <sz val="10"/>
        <rFont val="ＭＳ Ｐゴシック"/>
        <family val="3"/>
      </rPr>
      <t>の最大値と丸太杭1本の許容鉛直周面支持力RV</t>
    </r>
    <r>
      <rPr>
        <vertAlign val="subscript"/>
        <sz val="10"/>
        <rFont val="ＭＳ Ｐゴシック"/>
        <family val="3"/>
      </rPr>
      <t>pai</t>
    </r>
    <r>
      <rPr>
        <sz val="10"/>
        <rFont val="ＭＳ Ｐゴシック"/>
        <family val="3"/>
      </rPr>
      <t>の関係について照査すれば十分であるが、本計算事例では各丸太杭で照査する。</t>
    </r>
  </si>
  <si>
    <t>7.1　荷重ケース①の場合</t>
  </si>
  <si>
    <t>・・・</t>
  </si>
  <si>
    <t>7.2　荷重ケース②の場合</t>
  </si>
  <si>
    <r>
      <t>基礎地盤の許容水平支持力　R</t>
    </r>
    <r>
      <rPr>
        <vertAlign val="subscript"/>
        <sz val="10"/>
        <rFont val="ＭＳ Ｐゴシック"/>
        <family val="3"/>
      </rPr>
      <t>Hba</t>
    </r>
  </si>
  <si>
    <r>
      <t>R</t>
    </r>
    <r>
      <rPr>
        <vertAlign val="subscript"/>
        <sz val="10"/>
        <rFont val="ＭＳ Ｐゴシック"/>
        <family val="3"/>
      </rPr>
      <t>Hba</t>
    </r>
  </si>
  <si>
    <r>
      <t>R</t>
    </r>
    <r>
      <rPr>
        <vertAlign val="subscript"/>
        <sz val="10"/>
        <rFont val="ＭＳ Ｐゴシック"/>
        <family val="3"/>
      </rPr>
      <t>Hbu</t>
    </r>
  </si>
  <si>
    <r>
      <t>（F</t>
    </r>
    <r>
      <rPr>
        <vertAlign val="subscript"/>
        <sz val="10"/>
        <rFont val="ＭＳ Ｐゴシック"/>
        <family val="3"/>
      </rPr>
      <t>Hb</t>
    </r>
    <r>
      <rPr>
        <sz val="10"/>
        <rFont val="ＭＳ Ｐゴシック"/>
        <family val="3"/>
      </rPr>
      <t>＝1.5）</t>
    </r>
  </si>
  <si>
    <t>ﾏﾆｭｱﾙp.44 （6.2.4）</t>
  </si>
  <si>
    <r>
      <t>F</t>
    </r>
    <r>
      <rPr>
        <vertAlign val="subscript"/>
        <sz val="10"/>
        <rFont val="ＭＳ Ｐゴシック"/>
        <family val="3"/>
      </rPr>
      <t>Hb</t>
    </r>
  </si>
  <si>
    <r>
      <t>基礎底面と地盤との間に働くせん断抵抗力　R</t>
    </r>
    <r>
      <rPr>
        <vertAlign val="subscript"/>
        <sz val="10"/>
        <rFont val="ＭＳ Ｐゴシック"/>
        <family val="3"/>
      </rPr>
      <t>Hb</t>
    </r>
  </si>
  <si>
    <r>
      <t>R</t>
    </r>
    <r>
      <rPr>
        <vertAlign val="subscript"/>
        <sz val="10"/>
        <rFont val="ＭＳ Ｐゴシック"/>
        <family val="3"/>
      </rPr>
      <t>Hb</t>
    </r>
  </si>
  <si>
    <r>
      <t>C</t>
    </r>
    <r>
      <rPr>
        <vertAlign val="subscript"/>
        <sz val="10"/>
        <rFont val="ＭＳ Ｐゴシック"/>
        <family val="3"/>
      </rPr>
      <t>B</t>
    </r>
    <r>
      <rPr>
        <sz val="10"/>
        <rFont val="ＭＳ Ｐゴシック"/>
        <family val="3"/>
      </rPr>
      <t>・A</t>
    </r>
    <r>
      <rPr>
        <vertAlign val="subscript"/>
        <sz val="10"/>
        <rFont val="ＭＳ Ｐゴシック"/>
        <family val="3"/>
      </rPr>
      <t>e</t>
    </r>
    <r>
      <rPr>
        <sz val="10"/>
        <rFont val="ＭＳ Ｐゴシック"/>
        <family val="3"/>
      </rPr>
      <t>＋R</t>
    </r>
    <r>
      <rPr>
        <vertAlign val="subscript"/>
        <sz val="10"/>
        <rFont val="ＭＳ Ｐゴシック"/>
        <family val="3"/>
      </rPr>
      <t>Vba</t>
    </r>
    <r>
      <rPr>
        <sz val="10"/>
        <rFont val="ＭＳ Ｐゴシック"/>
        <family val="3"/>
      </rPr>
      <t>・tanφ</t>
    </r>
    <r>
      <rPr>
        <vertAlign val="subscript"/>
        <sz val="10"/>
        <rFont val="ＭＳ Ｐゴシック"/>
        <family val="3"/>
      </rPr>
      <t>B</t>
    </r>
  </si>
  <si>
    <t>ﾏﾆｭｱﾙp.47 （6.2.5）</t>
  </si>
  <si>
    <t>8.1　荷重ケース①の場合</t>
  </si>
  <si>
    <t>基礎底面と地盤との間の付着力</t>
  </si>
  <si>
    <r>
      <t>C</t>
    </r>
    <r>
      <rPr>
        <vertAlign val="subscript"/>
        <sz val="10"/>
        <rFont val="ＭＳ Ｐゴシック"/>
        <family val="3"/>
      </rPr>
      <t>B</t>
    </r>
  </si>
  <si>
    <r>
      <t>A</t>
    </r>
    <r>
      <rPr>
        <vertAlign val="subscript"/>
        <sz val="10"/>
        <rFont val="ＭＳ Ｐゴシック"/>
        <family val="3"/>
      </rPr>
      <t>e</t>
    </r>
  </si>
  <si>
    <t>基礎地盤の許容鉛直支持力</t>
  </si>
  <si>
    <r>
      <t>(kN</t>
    </r>
    <r>
      <rPr>
        <sz val="10"/>
        <rFont val="ＭＳ Ｐゴシック"/>
        <family val="3"/>
      </rPr>
      <t>)</t>
    </r>
  </si>
  <si>
    <t>基礎底面と地盤との間の摩擦角</t>
  </si>
  <si>
    <r>
      <t>φ</t>
    </r>
    <r>
      <rPr>
        <vertAlign val="subscript"/>
        <sz val="10"/>
        <rFont val="ＭＳ Ｐゴシック"/>
        <family val="3"/>
      </rPr>
      <t>B</t>
    </r>
  </si>
  <si>
    <t>(°)</t>
  </si>
  <si>
    <r>
      <t>基礎底面と地盤との間に働くせん断抵抗力R</t>
    </r>
    <r>
      <rPr>
        <vertAlign val="subscript"/>
        <sz val="10"/>
        <rFont val="ＭＳ Ｐゴシック"/>
        <family val="3"/>
      </rPr>
      <t>Hb</t>
    </r>
    <r>
      <rPr>
        <sz val="10"/>
        <rFont val="ＭＳ Ｐゴシック"/>
        <family val="3"/>
      </rPr>
      <t>は、</t>
    </r>
  </si>
  <si>
    <t>tan</t>
  </si>
  <si>
    <t>°</t>
  </si>
  <si>
    <t>8.2　荷重ケース②の場合</t>
  </si>
  <si>
    <t>9.1　荷重ケース①の場合</t>
  </si>
  <si>
    <r>
      <t>丸太杭頭部に作用する水平荷重 H</t>
    </r>
    <r>
      <rPr>
        <vertAlign val="subscript"/>
        <sz val="10"/>
        <rFont val="ＭＳ Ｐゴシック"/>
        <family val="3"/>
      </rPr>
      <t>p</t>
    </r>
  </si>
  <si>
    <r>
      <t>H</t>
    </r>
    <r>
      <rPr>
        <vertAlign val="subscript"/>
        <sz val="10"/>
        <rFont val="ＭＳ Ｐゴシック"/>
        <family val="3"/>
      </rPr>
      <t>p</t>
    </r>
  </si>
  <si>
    <r>
      <t>ΣH－R</t>
    </r>
    <r>
      <rPr>
        <vertAlign val="subscript"/>
        <sz val="10"/>
        <rFont val="ＭＳ Ｐゴシック"/>
        <family val="3"/>
      </rPr>
      <t>Hba</t>
    </r>
  </si>
  <si>
    <t>ﾏﾆｭｱﾙp.51 （6.2.16）</t>
  </si>
  <si>
    <r>
      <t>一本の丸太杭頭部に作用する水平荷重 H</t>
    </r>
    <r>
      <rPr>
        <vertAlign val="subscript"/>
        <sz val="10"/>
        <rFont val="ＭＳ Ｐゴシック"/>
        <family val="3"/>
      </rPr>
      <t>pi</t>
    </r>
  </si>
  <si>
    <r>
      <t>H</t>
    </r>
    <r>
      <rPr>
        <vertAlign val="subscript"/>
        <sz val="10"/>
        <rFont val="ＭＳ Ｐゴシック"/>
        <family val="3"/>
      </rPr>
      <t>pi</t>
    </r>
  </si>
  <si>
    <t>ﾏﾆｭｱﾙp.51 （6.2.17）</t>
  </si>
  <si>
    <r>
      <t>丸太杭本体に生じる地中部最大モーメント　M</t>
    </r>
    <r>
      <rPr>
        <vertAlign val="subscript"/>
        <sz val="10"/>
        <rFont val="ＭＳ Ｐゴシック"/>
        <family val="3"/>
      </rPr>
      <t>max</t>
    </r>
  </si>
  <si>
    <r>
      <t>M</t>
    </r>
    <r>
      <rPr>
        <vertAlign val="subscript"/>
        <sz val="10"/>
        <rFont val="ＭＳ Ｐゴシック"/>
        <family val="3"/>
      </rPr>
      <t>max</t>
    </r>
  </si>
  <si>
    <t>-0.3224・</t>
  </si>
  <si>
    <t>ﾏﾆｭｱﾙp.51 （6.2.18）</t>
  </si>
  <si>
    <r>
      <t>β</t>
    </r>
    <r>
      <rPr>
        <vertAlign val="subscript"/>
        <sz val="10"/>
        <rFont val="ＭＳ Ｐゴシック"/>
        <family val="3"/>
      </rPr>
      <t>0</t>
    </r>
  </si>
  <si>
    <r>
      <t>　丸太杭の特性値β</t>
    </r>
    <r>
      <rPr>
        <vertAlign val="subscript"/>
        <sz val="10"/>
        <rFont val="ＭＳ Ｐゴシック"/>
        <family val="3"/>
      </rPr>
      <t>0</t>
    </r>
    <r>
      <rPr>
        <sz val="10"/>
        <rFont val="ＭＳ Ｐゴシック"/>
        <family val="3"/>
      </rPr>
      <t>と後述の横方向地盤反力係数K</t>
    </r>
    <r>
      <rPr>
        <vertAlign val="subscript"/>
        <sz val="10"/>
        <rFont val="ＭＳ Ｐゴシック"/>
        <family val="3"/>
      </rPr>
      <t>H</t>
    </r>
    <r>
      <rPr>
        <sz val="10"/>
        <rFont val="ＭＳ Ｐゴシック"/>
        <family val="3"/>
      </rPr>
      <t>は相関関係にあるため、繰り返し計算が必要となる。ここで、β</t>
    </r>
    <r>
      <rPr>
        <vertAlign val="subscript"/>
        <sz val="10"/>
        <rFont val="ＭＳ Ｐゴシック"/>
        <family val="3"/>
      </rPr>
      <t>0</t>
    </r>
    <r>
      <rPr>
        <sz val="10"/>
        <rFont val="ＭＳ Ｐゴシック"/>
        <family val="3"/>
      </rPr>
      <t>を以下の値に仮定する。</t>
    </r>
  </si>
  <si>
    <r>
      <t>(m</t>
    </r>
    <r>
      <rPr>
        <vertAlign val="superscript"/>
        <sz val="10"/>
        <rFont val="ＭＳ Ｐゴシック"/>
        <family val="3"/>
      </rPr>
      <t>-1</t>
    </r>
    <r>
      <rPr>
        <sz val="10"/>
        <rFont val="ＭＳ Ｐゴシック"/>
        <family val="3"/>
      </rPr>
      <t>)</t>
    </r>
  </si>
  <si>
    <t>β0</t>
  </si>
  <si>
    <t>BH</t>
  </si>
  <si>
    <t>KH</t>
  </si>
  <si>
    <t>β0'</t>
  </si>
  <si>
    <t>|β0'-β0|</t>
  </si>
  <si>
    <r>
      <t>水平載荷試験の値に相当する横方向地盤反力係数K</t>
    </r>
    <r>
      <rPr>
        <vertAlign val="subscript"/>
        <sz val="10"/>
        <rFont val="ＭＳ Ｐゴシック"/>
        <family val="3"/>
      </rPr>
      <t>H0</t>
    </r>
  </si>
  <si>
    <r>
      <t>K</t>
    </r>
    <r>
      <rPr>
        <vertAlign val="subscript"/>
        <sz val="10"/>
        <rFont val="ＭＳ Ｐゴシック"/>
        <family val="3"/>
      </rPr>
      <t>H0</t>
    </r>
  </si>
  <si>
    <r>
      <t>・α</t>
    </r>
    <r>
      <rPr>
        <vertAlign val="subscript"/>
        <sz val="10"/>
        <rFont val="ＭＳ Ｐゴシック"/>
        <family val="3"/>
      </rPr>
      <t>0</t>
    </r>
    <r>
      <rPr>
        <sz val="10"/>
        <rFont val="ＭＳ Ｐゴシック"/>
        <family val="3"/>
      </rPr>
      <t>・E</t>
    </r>
    <r>
      <rPr>
        <vertAlign val="subscript"/>
        <sz val="10"/>
        <rFont val="ＭＳ Ｐゴシック"/>
        <family val="3"/>
      </rPr>
      <t>0</t>
    </r>
  </si>
  <si>
    <t>ﾏﾆｭｱﾙp.51 （6.2.22）</t>
  </si>
  <si>
    <t>ここで、</t>
  </si>
  <si>
    <r>
      <t>地盤反力係数推定に用いる係数α</t>
    </r>
    <r>
      <rPr>
        <vertAlign val="subscript"/>
        <sz val="10"/>
        <rFont val="ＭＳ Ｐゴシック"/>
        <family val="3"/>
      </rPr>
      <t>0</t>
    </r>
  </si>
  <si>
    <r>
      <t>変形係数E</t>
    </r>
    <r>
      <rPr>
        <vertAlign val="subscript"/>
        <sz val="10"/>
        <rFont val="ＭＳ Ｐゴシック"/>
        <family val="3"/>
      </rPr>
      <t>0</t>
    </r>
  </si>
  <si>
    <r>
      <t>荷重作用方向に直行の基礎の換算載荷幅B</t>
    </r>
    <r>
      <rPr>
        <vertAlign val="subscript"/>
        <sz val="10"/>
        <rFont val="ＭＳ Ｐゴシック"/>
        <family val="3"/>
      </rPr>
      <t>H</t>
    </r>
  </si>
  <si>
    <r>
      <t>B</t>
    </r>
    <r>
      <rPr>
        <vertAlign val="subscript"/>
        <sz val="10"/>
        <rFont val="ＭＳ Ｐゴシック"/>
        <family val="3"/>
      </rPr>
      <t>H</t>
    </r>
  </si>
  <si>
    <r>
      <t>φ</t>
    </r>
    <r>
      <rPr>
        <vertAlign val="subscript"/>
        <sz val="10"/>
        <rFont val="ＭＳ Ｐゴシック"/>
        <family val="3"/>
      </rPr>
      <t>e</t>
    </r>
  </si>
  <si>
    <t>ﾏﾆｭｱﾙp.52 （6.2.23）</t>
  </si>
  <si>
    <r>
      <t>ここで、丸太杭平均末口φ</t>
    </r>
    <r>
      <rPr>
        <vertAlign val="subscript"/>
        <sz val="10"/>
        <rFont val="ＭＳ Ｐゴシック"/>
        <family val="3"/>
      </rPr>
      <t>e</t>
    </r>
  </si>
  <si>
    <r>
      <t>横方向地盤反力係数K</t>
    </r>
    <r>
      <rPr>
        <vertAlign val="subscript"/>
        <sz val="10"/>
        <rFont val="ＭＳ Ｐゴシック"/>
        <family val="3"/>
      </rPr>
      <t>H</t>
    </r>
  </si>
  <si>
    <r>
      <t>K</t>
    </r>
    <r>
      <rPr>
        <vertAlign val="subscript"/>
        <sz val="10"/>
        <rFont val="ＭＳ Ｐゴシック"/>
        <family val="3"/>
      </rPr>
      <t>H</t>
    </r>
  </si>
  <si>
    <t>-3/4</t>
  </si>
  <si>
    <t>ﾏﾆｭｱﾙp.51 （6.2.21）</t>
  </si>
  <si>
    <t>丸太杭の断面2次モーメントI</t>
  </si>
  <si>
    <t>I</t>
  </si>
  <si>
    <r>
      <t>・φ</t>
    </r>
    <r>
      <rPr>
        <vertAlign val="subscript"/>
        <sz val="10"/>
        <rFont val="ＭＳ Ｐゴシック"/>
        <family val="3"/>
      </rPr>
      <t>e</t>
    </r>
    <r>
      <rPr>
        <vertAlign val="superscript"/>
        <sz val="10"/>
        <rFont val="ＭＳ Ｐゴシック"/>
        <family val="3"/>
      </rPr>
      <t>4</t>
    </r>
  </si>
  <si>
    <r>
      <t>(m</t>
    </r>
    <r>
      <rPr>
        <vertAlign val="superscript"/>
        <sz val="10"/>
        <rFont val="ＭＳ Ｐゴシック"/>
        <family val="3"/>
      </rPr>
      <t>4</t>
    </r>
    <r>
      <rPr>
        <sz val="10"/>
        <rFont val="ＭＳ Ｐゴシック"/>
        <family val="3"/>
      </rPr>
      <t>)</t>
    </r>
  </si>
  <si>
    <t>ﾏﾆｭｱﾙp.52 （6.2.24）</t>
  </si>
  <si>
    <r>
      <t>丸太杭の特性値β</t>
    </r>
    <r>
      <rPr>
        <vertAlign val="subscript"/>
        <sz val="10"/>
        <rFont val="ＭＳ Ｐゴシック"/>
        <family val="3"/>
      </rPr>
      <t>0</t>
    </r>
  </si>
  <si>
    <r>
      <t>K</t>
    </r>
    <r>
      <rPr>
        <vertAlign val="subscript"/>
        <sz val="10"/>
        <rFont val="ＭＳ Ｐゴシック"/>
        <family val="3"/>
      </rPr>
      <t>H</t>
    </r>
    <r>
      <rPr>
        <sz val="10"/>
        <rFont val="ＭＳ Ｐゴシック"/>
        <family val="3"/>
      </rPr>
      <t>・φ</t>
    </r>
    <r>
      <rPr>
        <vertAlign val="subscript"/>
        <sz val="10"/>
        <rFont val="ＭＳ Ｐゴシック"/>
        <family val="3"/>
      </rPr>
      <t>e</t>
    </r>
  </si>
  <si>
    <t>ﾏﾆｭｱﾙp.51 （6.2.20）</t>
  </si>
  <si>
    <t>4・E・I</t>
  </si>
  <si>
    <t>仮定値と一致 ⇒　ok</t>
  </si>
  <si>
    <t>丸太杭の弾性係数E＝</t>
  </si>
  <si>
    <r>
      <t>よって、丸太杭本体に生じる地中部最大モーメント　M</t>
    </r>
    <r>
      <rPr>
        <vertAlign val="subscript"/>
        <sz val="10"/>
        <rFont val="ＭＳ Ｐゴシック"/>
        <family val="3"/>
      </rPr>
      <t>max</t>
    </r>
  </si>
  <si>
    <t>(kN・m)</t>
  </si>
  <si>
    <t>丸太杭の曲げ応力度（1列目）</t>
  </si>
  <si>
    <r>
      <t>σ</t>
    </r>
    <r>
      <rPr>
        <vertAlign val="subscript"/>
        <sz val="10"/>
        <rFont val="ＭＳ Ｐゴシック"/>
        <family val="3"/>
      </rPr>
      <t>b</t>
    </r>
  </si>
  <si>
    <r>
      <t>V</t>
    </r>
    <r>
      <rPr>
        <vertAlign val="subscript"/>
        <sz val="10"/>
        <rFont val="ＭＳ Ｐゴシック"/>
        <family val="3"/>
      </rPr>
      <t>pi</t>
    </r>
    <r>
      <rPr>
        <sz val="10"/>
        <rFont val="ＭＳ Ｐゴシック"/>
        <family val="3"/>
      </rPr>
      <t>・10</t>
    </r>
    <r>
      <rPr>
        <vertAlign val="superscript"/>
        <sz val="10"/>
        <rFont val="ＭＳ Ｐゴシック"/>
        <family val="3"/>
      </rPr>
      <t>3</t>
    </r>
  </si>
  <si>
    <r>
      <t>M</t>
    </r>
    <r>
      <rPr>
        <vertAlign val="subscript"/>
        <sz val="10"/>
        <rFont val="ＭＳ Ｐゴシック"/>
        <family val="3"/>
      </rPr>
      <t>max</t>
    </r>
    <r>
      <rPr>
        <sz val="10"/>
        <rFont val="ＭＳ Ｐゴシック"/>
        <family val="3"/>
      </rPr>
      <t>・10</t>
    </r>
    <r>
      <rPr>
        <vertAlign val="superscript"/>
        <sz val="10"/>
        <rFont val="ＭＳ Ｐゴシック"/>
        <family val="3"/>
      </rPr>
      <t>6</t>
    </r>
  </si>
  <si>
    <t>ﾏﾆｭｱﾙp.51 （6.2.19）</t>
  </si>
  <si>
    <t>Z</t>
  </si>
  <si>
    <t>丸太杭1本が分担する
鉛直荷重</t>
  </si>
  <si>
    <t>(N)</t>
  </si>
  <si>
    <t>丸太杭1本当りの断面積</t>
  </si>
  <si>
    <r>
      <t>(mm</t>
    </r>
    <r>
      <rPr>
        <vertAlign val="superscript"/>
        <sz val="10"/>
        <rFont val="ＭＳ Ｐゴシック"/>
        <family val="3"/>
      </rPr>
      <t>2</t>
    </r>
    <r>
      <rPr>
        <sz val="10"/>
        <rFont val="ＭＳ Ｐゴシック"/>
        <family val="3"/>
      </rPr>
      <t>)</t>
    </r>
  </si>
  <si>
    <t>丸太杭本体に生じる
地中部最大モーメント</t>
  </si>
  <si>
    <t>(N・mm)</t>
  </si>
  <si>
    <t>丸太杭の断面係数</t>
  </si>
  <si>
    <r>
      <t>π・φ</t>
    </r>
    <r>
      <rPr>
        <vertAlign val="subscript"/>
        <sz val="10"/>
        <rFont val="ＭＳ Ｐゴシック"/>
        <family val="3"/>
      </rPr>
      <t>e</t>
    </r>
    <r>
      <rPr>
        <vertAlign val="superscript"/>
        <sz val="10"/>
        <rFont val="ＭＳ Ｐゴシック"/>
        <family val="3"/>
      </rPr>
      <t>3</t>
    </r>
    <r>
      <rPr>
        <sz val="10"/>
        <rFont val="ＭＳ Ｐゴシック"/>
        <family val="3"/>
      </rPr>
      <t>/32</t>
    </r>
  </si>
  <si>
    <t>／</t>
  </si>
  <si>
    <r>
      <t>(mm</t>
    </r>
    <r>
      <rPr>
        <vertAlign val="superscript"/>
        <sz val="10"/>
        <rFont val="ＭＳ Ｐゴシック"/>
        <family val="3"/>
      </rPr>
      <t>3</t>
    </r>
    <r>
      <rPr>
        <sz val="10"/>
        <rFont val="ＭＳ Ｐゴシック"/>
        <family val="3"/>
      </rPr>
      <t>)</t>
    </r>
  </si>
  <si>
    <r>
      <t>(N/mm</t>
    </r>
    <r>
      <rPr>
        <vertAlign val="superscript"/>
        <sz val="10"/>
        <rFont val="ＭＳ Ｐゴシック"/>
        <family val="3"/>
      </rPr>
      <t>2</t>
    </r>
    <r>
      <rPr>
        <sz val="10"/>
        <rFont val="ＭＳ Ｐゴシック"/>
        <family val="3"/>
      </rPr>
      <t>)</t>
    </r>
  </si>
  <si>
    <t>（曲げ圧縮応力度）</t>
  </si>
  <si>
    <t>丸太杭の曲げ応力度（2列目）</t>
  </si>
  <si>
    <t>9.2　荷重ケース②の場合</t>
  </si>
  <si>
    <t>10.1　荷重ケース①の場合</t>
  </si>
  <si>
    <r>
      <t>　丸太杭の許容曲げ応力度σ</t>
    </r>
    <r>
      <rPr>
        <vertAlign val="subscript"/>
        <sz val="10"/>
        <rFont val="ＭＳ Ｐゴシック"/>
        <family val="3"/>
      </rPr>
      <t>ca</t>
    </r>
    <r>
      <rPr>
        <sz val="10"/>
        <rFont val="ＭＳ Ｐゴシック"/>
        <family val="3"/>
      </rPr>
      <t>およびσ</t>
    </r>
    <r>
      <rPr>
        <vertAlign val="subscript"/>
        <sz val="10"/>
        <rFont val="ＭＳ Ｐゴシック"/>
        <family val="3"/>
      </rPr>
      <t>ba</t>
    </r>
    <r>
      <rPr>
        <sz val="10"/>
        <rFont val="ＭＳ Ｐゴシック"/>
        <family val="3"/>
      </rPr>
      <t>について照査する</t>
    </r>
  </si>
  <si>
    <t>≦｛</t>
  </si>
  <si>
    <r>
      <t>σ</t>
    </r>
    <r>
      <rPr>
        <vertAlign val="subscript"/>
        <sz val="10"/>
        <rFont val="ＭＳ Ｐゴシック"/>
        <family val="3"/>
      </rPr>
      <t>ca</t>
    </r>
  </si>
  <si>
    <r>
      <t>σ</t>
    </r>
    <r>
      <rPr>
        <vertAlign val="subscript"/>
        <sz val="10"/>
        <rFont val="ＭＳ Ｐゴシック"/>
        <family val="3"/>
      </rPr>
      <t>ba</t>
    </r>
  </si>
  <si>
    <r>
      <t>|σ</t>
    </r>
    <r>
      <rPr>
        <vertAlign val="subscript"/>
        <sz val="10"/>
        <rFont val="ＭＳ Ｐゴシック"/>
        <family val="3"/>
      </rPr>
      <t>b</t>
    </r>
    <r>
      <rPr>
        <sz val="10"/>
        <rFont val="ＭＳ Ｐゴシック"/>
        <family val="3"/>
      </rPr>
      <t>|</t>
    </r>
  </si>
  <si>
    <t>10.2　荷重ケース②の場合</t>
  </si>
  <si>
    <t>11.　施工時の照査</t>
  </si>
  <si>
    <t>11.1　丸太杭1本の施工時許容鉛直周面支持力の算定</t>
  </si>
  <si>
    <r>
      <t>丸太杭1本の施工時許容鉛直周面支持力　R</t>
    </r>
    <r>
      <rPr>
        <vertAlign val="subscript"/>
        <sz val="10"/>
        <rFont val="ＭＳ Ｐゴシック"/>
        <family val="3"/>
      </rPr>
      <t>vpai</t>
    </r>
    <r>
      <rPr>
        <sz val="10"/>
        <rFont val="ＭＳ Ｐゴシック"/>
        <family val="3"/>
      </rPr>
      <t>’</t>
    </r>
  </si>
  <si>
    <r>
      <t>R</t>
    </r>
    <r>
      <rPr>
        <vertAlign val="subscript"/>
        <sz val="10"/>
        <rFont val="ＭＳ Ｐゴシック"/>
        <family val="3"/>
      </rPr>
      <t>vpai</t>
    </r>
    <r>
      <rPr>
        <sz val="10"/>
        <rFont val="ＭＳ Ｐゴシック"/>
        <family val="3"/>
      </rPr>
      <t>'</t>
    </r>
  </si>
  <si>
    <r>
      <t>（F</t>
    </r>
    <r>
      <rPr>
        <vertAlign val="subscript"/>
        <sz val="10"/>
        <rFont val="ＭＳ Ｐゴシック"/>
        <family val="3"/>
      </rPr>
      <t>S</t>
    </r>
    <r>
      <rPr>
        <sz val="10"/>
        <rFont val="ＭＳ Ｐゴシック"/>
        <family val="3"/>
      </rPr>
      <t>'＝1.2）</t>
    </r>
  </si>
  <si>
    <t>ﾏﾆｭｱﾙp.53 （6.2.27）</t>
  </si>
  <si>
    <r>
      <t>F</t>
    </r>
    <r>
      <rPr>
        <vertAlign val="subscript"/>
        <sz val="10"/>
        <rFont val="ＭＳ Ｐゴシック"/>
        <family val="3"/>
      </rPr>
      <t>S</t>
    </r>
    <r>
      <rPr>
        <sz val="10"/>
        <rFont val="ＭＳ Ｐゴシック"/>
        <family val="3"/>
      </rPr>
      <t>'</t>
    </r>
  </si>
  <si>
    <t>11.2　施工時作用荷重の算定</t>
  </si>
  <si>
    <t>擁壁設置時における丸太杭に作用する鉛直荷重Vp'</t>
  </si>
  <si>
    <r>
      <t>V</t>
    </r>
    <r>
      <rPr>
        <vertAlign val="subscript"/>
        <sz val="10"/>
        <rFont val="ＭＳ Ｐゴシック"/>
        <family val="3"/>
      </rPr>
      <t>p</t>
    </r>
    <r>
      <rPr>
        <sz val="10"/>
        <rFont val="ＭＳ Ｐゴシック"/>
        <family val="3"/>
      </rPr>
      <t>'</t>
    </r>
  </si>
  <si>
    <t>V'</t>
  </si>
  <si>
    <r>
      <t>W</t>
    </r>
    <r>
      <rPr>
        <vertAlign val="subscript"/>
        <sz val="10"/>
        <rFont val="ＭＳ Ｐゴシック"/>
        <family val="3"/>
      </rPr>
      <t>d1</t>
    </r>
  </si>
  <si>
    <t>ﾏﾆｭｱﾙp.53 （6.2.25）</t>
  </si>
  <si>
    <t>擁壁設置時における前面丸太杭1本に作用する鉛直荷重Vpi'</t>
  </si>
  <si>
    <r>
      <t>V</t>
    </r>
    <r>
      <rPr>
        <vertAlign val="subscript"/>
        <sz val="10"/>
        <rFont val="ＭＳ Ｐゴシック"/>
        <family val="3"/>
      </rPr>
      <t>pi</t>
    </r>
    <r>
      <rPr>
        <vertAlign val="superscript"/>
        <sz val="10"/>
        <rFont val="ＭＳ Ｐゴシック"/>
        <family val="3"/>
      </rPr>
      <t>'</t>
    </r>
  </si>
  <si>
    <t>ﾏﾆｭｱﾙp.53 （6.2.26）</t>
  </si>
  <si>
    <t>11.3　施工時の照査</t>
  </si>
  <si>
    <r>
      <t>R</t>
    </r>
    <r>
      <rPr>
        <vertAlign val="subscript"/>
        <sz val="10"/>
        <rFont val="ＭＳ Ｐゴシック"/>
        <family val="3"/>
      </rPr>
      <t>Vpai</t>
    </r>
    <r>
      <rPr>
        <sz val="10"/>
        <rFont val="ＭＳ Ｐゴシック"/>
        <family val="3"/>
      </rPr>
      <t>'</t>
    </r>
  </si>
  <si>
    <r>
      <t>V</t>
    </r>
    <r>
      <rPr>
        <vertAlign val="subscript"/>
        <sz val="10"/>
        <rFont val="ＭＳ Ｐゴシック"/>
        <family val="3"/>
      </rPr>
      <t>pi</t>
    </r>
    <r>
      <rPr>
        <sz val="10"/>
        <rFont val="ＭＳ Ｐゴシック"/>
        <family val="3"/>
      </rPr>
      <t>'</t>
    </r>
  </si>
  <si>
    <t>(kN/m2)</t>
  </si>
  <si>
    <t xml:space="preserve">(m) </t>
  </si>
  <si>
    <t>(kN/m2)</t>
  </si>
  <si>
    <t>根入れ
深さ
(m)</t>
  </si>
  <si>
    <t>底面幅
(m)</t>
  </si>
  <si>
    <t>擁壁高
(m)</t>
  </si>
  <si>
    <t>地盤条件</t>
  </si>
  <si>
    <t>丸太杭条件</t>
  </si>
  <si>
    <t xml:space="preserve">(m) </t>
  </si>
  <si>
    <t>末口径
(mm)</t>
  </si>
  <si>
    <t>杭長
(m)</t>
  </si>
  <si>
    <t>本数
(本)</t>
  </si>
  <si>
    <t>供用時①</t>
  </si>
  <si>
    <t>供用時②</t>
  </si>
  <si>
    <t>擁壁条件</t>
  </si>
  <si>
    <t>種別</t>
  </si>
  <si>
    <t>供用時①・圧縮</t>
  </si>
  <si>
    <t>供用時①・引張</t>
  </si>
  <si>
    <t>供用時②・圧縮</t>
  </si>
  <si>
    <t>供用時②・引張</t>
  </si>
  <si>
    <t>上載
荷重
(kN/m2)</t>
  </si>
  <si>
    <t>圧縮
強度
(kN/m2)</t>
  </si>
  <si>
    <t>杭間隔判定</t>
  </si>
  <si>
    <r>
      <t>N</t>
    </r>
    <r>
      <rPr>
        <sz val="11"/>
        <rFont val="ＭＳ Ｐゴシック"/>
        <family val="3"/>
      </rPr>
      <t>o</t>
    </r>
  </si>
  <si>
    <t>杭の最小中心間隔l =</t>
  </si>
  <si>
    <t>擁壁種別</t>
  </si>
  <si>
    <t>末口径(mm)</t>
  </si>
  <si>
    <t>90～130</t>
  </si>
  <si>
    <t>杭長(m)</t>
  </si>
  <si>
    <t>△</t>
  </si>
  <si>
    <t>○</t>
  </si>
  <si>
    <t>◎</t>
  </si>
  <si>
    <t>使用材料</t>
  </si>
  <si>
    <t>無視することが多い</t>
  </si>
  <si>
    <t>3～6本</t>
  </si>
  <si>
    <t>※</t>
  </si>
  <si>
    <t>流通量：◎多い　○中位　△少ない　※特注　－不可</t>
  </si>
  <si>
    <t>杭先端を尖らす場合は0.1m減らした値とする</t>
  </si>
  <si>
    <t>ﾏﾆｭｱﾙp.3</t>
  </si>
  <si>
    <t>変更</t>
  </si>
  <si>
    <t>設計シート</t>
  </si>
  <si>
    <t>↓シート名を入力</t>
  </si>
  <si>
    <t>丸太杭による擁壁基礎の設計計算結果一覧表</t>
  </si>
  <si>
    <t>2</t>
  </si>
  <si>
    <t>5</t>
  </si>
  <si>
    <t>12</t>
  </si>
  <si>
    <t>16</t>
  </si>
  <si>
    <t>(kN)</t>
  </si>
  <si>
    <t>・・・</t>
  </si>
  <si>
    <t>(kN)</t>
  </si>
  <si>
    <t>・・・</t>
  </si>
  <si>
    <t>・・・</t>
  </si>
  <si>
    <t>改訂履歴</t>
  </si>
  <si>
    <t>砂質土ﾀｲﾌﾟ</t>
  </si>
  <si>
    <r>
      <t>l</t>
    </r>
    <r>
      <rPr>
        <vertAlign val="subscript"/>
        <sz val="10"/>
        <rFont val="ＭＳ Ｐゴシック"/>
        <family val="3"/>
      </rPr>
      <t>1</t>
    </r>
    <r>
      <rPr>
        <sz val="10"/>
        <rFont val="ＭＳ Ｐゴシック"/>
        <family val="3"/>
      </rPr>
      <t>=</t>
    </r>
  </si>
  <si>
    <r>
      <t>l</t>
    </r>
    <r>
      <rPr>
        <vertAlign val="subscript"/>
        <sz val="10"/>
        <rFont val="ＭＳ Ｐゴシック"/>
        <family val="3"/>
      </rPr>
      <t>2</t>
    </r>
    <r>
      <rPr>
        <sz val="10"/>
        <rFont val="ＭＳ Ｐゴシック"/>
        <family val="3"/>
      </rPr>
      <t>=</t>
    </r>
  </si>
  <si>
    <t>σca</t>
  </si>
  <si>
    <t>　※『製品1個分』の延長当り荷重を入力する　※断面当り（m当り）ではない！</t>
  </si>
  <si>
    <t>丸太杭を用いたＬ型擁壁基礎の設計シート【建築編】</t>
  </si>
  <si>
    <t>　本事例では、基礎地盤の許容鉛直支持力はﾏﾆｭｱﾙp.32の「5.2.3.3　建築基礎構造設計指針による基礎地盤の鉛直支持力」より求める。</t>
  </si>
  <si>
    <r>
      <t>A</t>
    </r>
    <r>
      <rPr>
        <vertAlign val="subscript"/>
        <sz val="10"/>
        <rFont val="ＭＳ Ｐゴシック"/>
        <family val="3"/>
      </rPr>
      <t>e</t>
    </r>
    <r>
      <rPr>
        <sz val="10"/>
        <rFont val="ＭＳ Ｐゴシック"/>
        <family val="3"/>
      </rPr>
      <t>・（i</t>
    </r>
    <r>
      <rPr>
        <vertAlign val="subscript"/>
        <sz val="10"/>
        <rFont val="ＭＳ Ｐゴシック"/>
        <family val="3"/>
      </rPr>
      <t>c</t>
    </r>
    <r>
      <rPr>
        <sz val="10"/>
        <rFont val="ＭＳ Ｐゴシック"/>
        <family val="3"/>
      </rPr>
      <t>・α・c・N</t>
    </r>
    <r>
      <rPr>
        <vertAlign val="subscript"/>
        <sz val="10"/>
        <rFont val="ＭＳ Ｐゴシック"/>
        <family val="3"/>
      </rPr>
      <t>c</t>
    </r>
    <r>
      <rPr>
        <sz val="10"/>
        <rFont val="ＭＳ Ｐゴシック"/>
        <family val="3"/>
      </rPr>
      <t>＋i</t>
    </r>
    <r>
      <rPr>
        <vertAlign val="subscript"/>
        <sz val="10"/>
        <rFont val="ＭＳ Ｐゴシック"/>
        <family val="3"/>
      </rPr>
      <t>γ</t>
    </r>
    <r>
      <rPr>
        <sz val="10"/>
        <rFont val="ＭＳ Ｐゴシック"/>
        <family val="3"/>
      </rPr>
      <t>・β・γ</t>
    </r>
    <r>
      <rPr>
        <vertAlign val="subscript"/>
        <sz val="10"/>
        <rFont val="ＭＳ Ｐゴシック"/>
        <family val="3"/>
      </rPr>
      <t>1</t>
    </r>
    <r>
      <rPr>
        <sz val="10"/>
        <rFont val="ＭＳ Ｐゴシック"/>
        <family val="3"/>
      </rPr>
      <t>・B</t>
    </r>
    <r>
      <rPr>
        <vertAlign val="subscript"/>
        <sz val="10"/>
        <rFont val="ＭＳ Ｐゴシック"/>
        <family val="3"/>
      </rPr>
      <t>e</t>
    </r>
    <r>
      <rPr>
        <sz val="10"/>
        <rFont val="ＭＳ Ｐゴシック"/>
        <family val="3"/>
      </rPr>
      <t>・η・N</t>
    </r>
    <r>
      <rPr>
        <vertAlign val="subscript"/>
        <sz val="10"/>
        <rFont val="ＭＳ Ｐゴシック"/>
        <family val="3"/>
      </rPr>
      <t>γ</t>
    </r>
    <r>
      <rPr>
        <sz val="10"/>
        <rFont val="ＭＳ Ｐゴシック"/>
        <family val="3"/>
      </rPr>
      <t>＋i</t>
    </r>
    <r>
      <rPr>
        <vertAlign val="subscript"/>
        <sz val="10"/>
        <rFont val="ＭＳ Ｐゴシック"/>
        <family val="3"/>
      </rPr>
      <t>q</t>
    </r>
    <r>
      <rPr>
        <sz val="10"/>
        <rFont val="ＭＳ Ｐゴシック"/>
        <family val="3"/>
      </rPr>
      <t>・γ</t>
    </r>
    <r>
      <rPr>
        <vertAlign val="subscript"/>
        <sz val="10"/>
        <rFont val="ＭＳ Ｐゴシック"/>
        <family val="3"/>
      </rPr>
      <t>2</t>
    </r>
    <r>
      <rPr>
        <sz val="10"/>
        <rFont val="ＭＳ Ｐゴシック"/>
        <family val="3"/>
      </rPr>
      <t>・D</t>
    </r>
    <r>
      <rPr>
        <vertAlign val="subscript"/>
        <sz val="10"/>
        <rFont val="ＭＳ Ｐゴシック"/>
        <family val="3"/>
      </rPr>
      <t>f</t>
    </r>
    <r>
      <rPr>
        <sz val="10"/>
        <rFont val="ＭＳ Ｐゴシック"/>
        <family val="3"/>
      </rPr>
      <t>・N</t>
    </r>
    <r>
      <rPr>
        <vertAlign val="subscript"/>
        <sz val="10"/>
        <rFont val="ＭＳ Ｐゴシック"/>
        <family val="3"/>
      </rPr>
      <t>q</t>
    </r>
    <r>
      <rPr>
        <sz val="10"/>
        <rFont val="ＭＳ Ｐゴシック"/>
        <family val="3"/>
      </rPr>
      <t>）</t>
    </r>
  </si>
  <si>
    <t>ﾏﾆｭｱﾙp.32 (5.2.13・5.2.14)</t>
  </si>
  <si>
    <t>ﾏﾆｭｱﾙp.32 表-5.2.5より</t>
  </si>
  <si>
    <r>
      <t>i</t>
    </r>
    <r>
      <rPr>
        <vertAlign val="subscript"/>
        <sz val="10"/>
        <rFont val="ＭＳ Ｐゴシック"/>
        <family val="3"/>
      </rPr>
      <t>c</t>
    </r>
    <r>
      <rPr>
        <sz val="10"/>
        <rFont val="ＭＳ Ｐゴシック"/>
        <family val="3"/>
      </rPr>
      <t>・α・c・N</t>
    </r>
    <r>
      <rPr>
        <vertAlign val="subscript"/>
        <sz val="10"/>
        <rFont val="ＭＳ Ｐゴシック"/>
        <family val="3"/>
      </rPr>
      <t>c</t>
    </r>
  </si>
  <si>
    <t>＝</t>
  </si>
  <si>
    <t>×</t>
  </si>
  <si>
    <r>
      <t>(kN/m</t>
    </r>
    <r>
      <rPr>
        <vertAlign val="superscript"/>
        <sz val="10"/>
        <rFont val="ＭＳ Ｐゴシック"/>
        <family val="3"/>
      </rPr>
      <t>2</t>
    </r>
    <r>
      <rPr>
        <sz val="10"/>
        <rFont val="ＭＳ Ｐゴシック"/>
        <family val="3"/>
      </rPr>
      <t>)</t>
    </r>
  </si>
  <si>
    <t>α</t>
  </si>
  <si>
    <t>＝</t>
  </si>
  <si>
    <t>ﾏﾆｭｱﾙp.46</t>
  </si>
  <si>
    <t>Df</t>
  </si>
  <si>
    <t>（</t>
  </si>
  <si>
    <t>＋</t>
  </si>
  <si>
    <t>）</t>
  </si>
  <si>
    <t>※ﾏﾆｭｱﾙp.45よりDfについては</t>
  </si>
  <si>
    <t>c</t>
  </si>
  <si>
    <t>＝</t>
  </si>
  <si>
    <r>
      <t>(kN/m</t>
    </r>
    <r>
      <rPr>
        <vertAlign val="superscript"/>
        <sz val="10"/>
        <rFont val="ＭＳ Ｐゴシック"/>
        <family val="3"/>
      </rPr>
      <t>2</t>
    </r>
    <r>
      <rPr>
        <sz val="10"/>
        <rFont val="ＭＳ Ｐゴシック"/>
        <family val="3"/>
      </rPr>
      <t>)</t>
    </r>
  </si>
  <si>
    <r>
      <t>N</t>
    </r>
    <r>
      <rPr>
        <vertAlign val="subscript"/>
        <sz val="10"/>
        <rFont val="ＭＳ Ｐゴシック"/>
        <family val="3"/>
      </rPr>
      <t>c</t>
    </r>
  </si>
  <si>
    <t>tanθ</t>
  </si>
  <si>
    <t>ΣH</t>
  </si>
  <si>
    <t>θ</t>
  </si>
  <si>
    <t>(°)</t>
  </si>
  <si>
    <t>ΣV</t>
  </si>
  <si>
    <r>
      <t>i</t>
    </r>
    <r>
      <rPr>
        <vertAlign val="subscript"/>
        <sz val="10"/>
        <rFont val="ＭＳ Ｐゴシック"/>
        <family val="3"/>
      </rPr>
      <t>c</t>
    </r>
    <r>
      <rPr>
        <sz val="10"/>
        <rFont val="ＭＳ Ｐゴシック"/>
        <family val="3"/>
      </rPr>
      <t>・α・c・N</t>
    </r>
    <r>
      <rPr>
        <vertAlign val="subscript"/>
        <sz val="10"/>
        <rFont val="ＭＳ Ｐゴシック"/>
        <family val="3"/>
      </rPr>
      <t>c</t>
    </r>
  </si>
  <si>
    <t>＝</t>
  </si>
  <si>
    <t>×</t>
  </si>
  <si>
    <t>×</t>
  </si>
  <si>
    <t>×</t>
  </si>
  <si>
    <r>
      <t>γ</t>
    </r>
    <r>
      <rPr>
        <vertAlign val="subscript"/>
        <sz val="10"/>
        <rFont val="ＭＳ Ｐゴシック"/>
        <family val="3"/>
      </rPr>
      <t>1</t>
    </r>
  </si>
  <si>
    <r>
      <t>(kN/m</t>
    </r>
    <r>
      <rPr>
        <vertAlign val="superscript"/>
        <sz val="10"/>
        <rFont val="ＭＳ Ｐゴシック"/>
        <family val="3"/>
      </rPr>
      <t>3</t>
    </r>
    <r>
      <rPr>
        <sz val="10"/>
        <rFont val="ＭＳ Ｐゴシック"/>
        <family val="3"/>
      </rPr>
      <t>)</t>
    </r>
  </si>
  <si>
    <t>β</t>
  </si>
  <si>
    <t>（ﾏﾆｭｱﾙp46)</t>
  </si>
  <si>
    <r>
      <t>B</t>
    </r>
    <r>
      <rPr>
        <vertAlign val="subscript"/>
        <sz val="10"/>
        <rFont val="ＭＳ Ｐゴシック"/>
        <family val="3"/>
      </rPr>
      <t>e</t>
    </r>
  </si>
  <si>
    <t>寸法効果
補正係数</t>
  </si>
  <si>
    <r>
      <t>N</t>
    </r>
    <r>
      <rPr>
        <vertAlign val="subscript"/>
        <sz val="10"/>
        <rFont val="ＭＳ Ｐゴシック"/>
        <family val="3"/>
      </rPr>
      <t>γ</t>
    </r>
  </si>
  <si>
    <t>第2項の計算</t>
  </si>
  <si>
    <r>
      <t>i</t>
    </r>
    <r>
      <rPr>
        <vertAlign val="subscript"/>
        <sz val="10"/>
        <rFont val="ＭＳ Ｐゴシック"/>
        <family val="3"/>
      </rPr>
      <t>γ</t>
    </r>
    <r>
      <rPr>
        <sz val="10"/>
        <rFont val="ＭＳ Ｐゴシック"/>
        <family val="3"/>
      </rPr>
      <t>・β・γ</t>
    </r>
    <r>
      <rPr>
        <vertAlign val="subscript"/>
        <sz val="10"/>
        <rFont val="ＭＳ Ｐゴシック"/>
        <family val="3"/>
      </rPr>
      <t>1</t>
    </r>
    <r>
      <rPr>
        <sz val="10"/>
        <rFont val="ＭＳ Ｐゴシック"/>
        <family val="3"/>
      </rPr>
      <t>・B</t>
    </r>
    <r>
      <rPr>
        <vertAlign val="subscript"/>
        <sz val="10"/>
        <rFont val="ＭＳ Ｐゴシック"/>
        <family val="3"/>
      </rPr>
      <t>e</t>
    </r>
    <r>
      <rPr>
        <sz val="10"/>
        <rFont val="ＭＳ Ｐゴシック"/>
        <family val="3"/>
      </rPr>
      <t>・η・N</t>
    </r>
    <r>
      <rPr>
        <vertAlign val="subscript"/>
        <sz val="10"/>
        <rFont val="ＭＳ Ｐゴシック"/>
        <family val="3"/>
      </rPr>
      <t>γ</t>
    </r>
  </si>
  <si>
    <t>上載盛土の
単位重量</t>
  </si>
  <si>
    <r>
      <t>γ</t>
    </r>
    <r>
      <rPr>
        <vertAlign val="subscript"/>
        <sz val="10"/>
        <rFont val="ＭＳ Ｐゴシック"/>
        <family val="3"/>
      </rPr>
      <t>2</t>
    </r>
  </si>
  <si>
    <r>
      <t>(kN/m</t>
    </r>
    <r>
      <rPr>
        <vertAlign val="superscript"/>
        <sz val="10"/>
        <rFont val="ＭＳ Ｐゴシック"/>
        <family val="3"/>
      </rPr>
      <t>3</t>
    </r>
    <r>
      <rPr>
        <sz val="10"/>
        <rFont val="ＭＳ Ｐゴシック"/>
        <family val="3"/>
      </rPr>
      <t>)</t>
    </r>
  </si>
  <si>
    <r>
      <t>(m</t>
    </r>
    <r>
      <rPr>
        <sz val="10"/>
        <rFont val="ＭＳ Ｐゴシック"/>
        <family val="3"/>
      </rPr>
      <t>)</t>
    </r>
  </si>
  <si>
    <r>
      <t>N</t>
    </r>
    <r>
      <rPr>
        <vertAlign val="subscript"/>
        <sz val="10"/>
        <rFont val="ＭＳ Ｐゴシック"/>
        <family val="3"/>
      </rPr>
      <t>q</t>
    </r>
  </si>
  <si>
    <t>第3項の計算</t>
  </si>
  <si>
    <r>
      <t>i</t>
    </r>
    <r>
      <rPr>
        <vertAlign val="subscript"/>
        <sz val="10"/>
        <rFont val="ＭＳ Ｐゴシック"/>
        <family val="3"/>
      </rPr>
      <t>q</t>
    </r>
    <r>
      <rPr>
        <sz val="10"/>
        <rFont val="ＭＳ Ｐゴシック"/>
        <family val="3"/>
      </rPr>
      <t>・γ</t>
    </r>
    <r>
      <rPr>
        <vertAlign val="subscript"/>
        <sz val="10"/>
        <rFont val="ＭＳ Ｐゴシック"/>
        <family val="3"/>
      </rPr>
      <t>2</t>
    </r>
    <r>
      <rPr>
        <sz val="10"/>
        <rFont val="ＭＳ Ｐゴシック"/>
        <family val="3"/>
      </rPr>
      <t>・D</t>
    </r>
    <r>
      <rPr>
        <vertAlign val="subscript"/>
        <sz val="10"/>
        <rFont val="ＭＳ Ｐゴシック"/>
        <family val="3"/>
      </rPr>
      <t>f</t>
    </r>
    <r>
      <rPr>
        <sz val="10"/>
        <rFont val="ＭＳ Ｐゴシック"/>
        <family val="3"/>
      </rPr>
      <t>・N</t>
    </r>
    <r>
      <rPr>
        <vertAlign val="subscript"/>
        <sz val="10"/>
        <rFont val="ＭＳ Ｐゴシック"/>
        <family val="3"/>
      </rPr>
      <t>q</t>
    </r>
  </si>
  <si>
    <r>
      <t>R</t>
    </r>
    <r>
      <rPr>
        <vertAlign val="subscript"/>
        <sz val="10"/>
        <rFont val="ＭＳ Ｐゴシック"/>
        <family val="3"/>
      </rPr>
      <t>Vbu</t>
    </r>
  </si>
  <si>
    <r>
      <t>A</t>
    </r>
    <r>
      <rPr>
        <vertAlign val="subscript"/>
        <sz val="10"/>
        <rFont val="ＭＳ Ｐゴシック"/>
        <family val="3"/>
      </rPr>
      <t>e</t>
    </r>
    <r>
      <rPr>
        <sz val="10"/>
        <rFont val="ＭＳ Ｐゴシック"/>
        <family val="3"/>
      </rPr>
      <t>・（i</t>
    </r>
    <r>
      <rPr>
        <vertAlign val="subscript"/>
        <sz val="10"/>
        <rFont val="ＭＳ Ｐゴシック"/>
        <family val="3"/>
      </rPr>
      <t>c</t>
    </r>
    <r>
      <rPr>
        <sz val="10"/>
        <rFont val="ＭＳ Ｐゴシック"/>
        <family val="3"/>
      </rPr>
      <t>・α・c・N</t>
    </r>
    <r>
      <rPr>
        <vertAlign val="subscript"/>
        <sz val="10"/>
        <rFont val="ＭＳ Ｐゴシック"/>
        <family val="3"/>
      </rPr>
      <t>c</t>
    </r>
    <r>
      <rPr>
        <sz val="10"/>
        <rFont val="ＭＳ Ｐゴシック"/>
        <family val="3"/>
      </rPr>
      <t>＋i</t>
    </r>
    <r>
      <rPr>
        <vertAlign val="subscript"/>
        <sz val="10"/>
        <rFont val="ＭＳ Ｐゴシック"/>
        <family val="3"/>
      </rPr>
      <t>γ</t>
    </r>
    <r>
      <rPr>
        <sz val="10"/>
        <rFont val="ＭＳ Ｐゴシック"/>
        <family val="3"/>
      </rPr>
      <t>・β・γ</t>
    </r>
    <r>
      <rPr>
        <vertAlign val="subscript"/>
        <sz val="10"/>
        <rFont val="ＭＳ Ｐゴシック"/>
        <family val="3"/>
      </rPr>
      <t>1</t>
    </r>
    <r>
      <rPr>
        <sz val="10"/>
        <rFont val="ＭＳ Ｐゴシック"/>
        <family val="3"/>
      </rPr>
      <t>・B</t>
    </r>
    <r>
      <rPr>
        <vertAlign val="subscript"/>
        <sz val="10"/>
        <rFont val="ＭＳ Ｐゴシック"/>
        <family val="3"/>
      </rPr>
      <t>e</t>
    </r>
    <r>
      <rPr>
        <sz val="10"/>
        <rFont val="ＭＳ Ｐゴシック"/>
        <family val="3"/>
      </rPr>
      <t>・η・N</t>
    </r>
    <r>
      <rPr>
        <vertAlign val="subscript"/>
        <sz val="10"/>
        <rFont val="ＭＳ Ｐゴシック"/>
        <family val="3"/>
      </rPr>
      <t>γ</t>
    </r>
    <r>
      <rPr>
        <sz val="10"/>
        <rFont val="ＭＳ Ｐゴシック"/>
        <family val="3"/>
      </rPr>
      <t>＋i</t>
    </r>
    <r>
      <rPr>
        <vertAlign val="subscript"/>
        <sz val="10"/>
        <rFont val="ＭＳ Ｐゴシック"/>
        <family val="3"/>
      </rPr>
      <t>q</t>
    </r>
    <r>
      <rPr>
        <sz val="10"/>
        <rFont val="ＭＳ Ｐゴシック"/>
        <family val="3"/>
      </rPr>
      <t>・γ</t>
    </r>
    <r>
      <rPr>
        <vertAlign val="subscript"/>
        <sz val="10"/>
        <rFont val="ＭＳ Ｐゴシック"/>
        <family val="3"/>
      </rPr>
      <t>2</t>
    </r>
    <r>
      <rPr>
        <sz val="10"/>
        <rFont val="ＭＳ Ｐゴシック"/>
        <family val="3"/>
      </rPr>
      <t>・D</t>
    </r>
    <r>
      <rPr>
        <vertAlign val="subscript"/>
        <sz val="10"/>
        <rFont val="ＭＳ Ｐゴシック"/>
        <family val="3"/>
      </rPr>
      <t>f</t>
    </r>
    <r>
      <rPr>
        <sz val="10"/>
        <rFont val="ＭＳ Ｐゴシック"/>
        <family val="3"/>
      </rPr>
      <t>・N</t>
    </r>
    <r>
      <rPr>
        <vertAlign val="subscript"/>
        <sz val="10"/>
        <rFont val="ＭＳ Ｐゴシック"/>
        <family val="3"/>
      </rPr>
      <t>q</t>
    </r>
    <r>
      <rPr>
        <sz val="10"/>
        <rFont val="ＭＳ Ｐゴシック"/>
        <family val="3"/>
      </rPr>
      <t>）</t>
    </r>
  </si>
  <si>
    <t>（</t>
  </si>
  <si>
    <t>＋</t>
  </si>
  <si>
    <t>）</t>
  </si>
  <si>
    <t>(kN)</t>
  </si>
  <si>
    <r>
      <t>R</t>
    </r>
    <r>
      <rPr>
        <vertAlign val="subscript"/>
        <sz val="10"/>
        <rFont val="ＭＳ Ｐゴシック"/>
        <family val="3"/>
      </rPr>
      <t>Vba</t>
    </r>
  </si>
  <si>
    <r>
      <t>F</t>
    </r>
    <r>
      <rPr>
        <vertAlign val="subscript"/>
        <sz val="10"/>
        <rFont val="ＭＳ Ｐゴシック"/>
        <family val="3"/>
      </rPr>
      <t>Vu</t>
    </r>
  </si>
  <si>
    <t>ΣV</t>
  </si>
  <si>
    <r>
      <t>B</t>
    </r>
    <r>
      <rPr>
        <vertAlign val="subscript"/>
        <sz val="10"/>
        <rFont val="ＭＳ Ｐゴシック"/>
        <family val="3"/>
      </rPr>
      <t>e</t>
    </r>
  </si>
  <si>
    <t>B</t>
  </si>
  <si>
    <t>－</t>
  </si>
  <si>
    <r>
      <t>2・e</t>
    </r>
    <r>
      <rPr>
        <vertAlign val="subscript"/>
        <sz val="10"/>
        <rFont val="ＭＳ Ｐゴシック"/>
        <family val="3"/>
      </rPr>
      <t>B</t>
    </r>
  </si>
  <si>
    <r>
      <t>Ａ</t>
    </r>
    <r>
      <rPr>
        <vertAlign val="subscript"/>
        <sz val="10"/>
        <rFont val="ＭＳ Ｐゴシック"/>
        <family val="3"/>
      </rPr>
      <t>ｅ</t>
    </r>
  </si>
  <si>
    <r>
      <t>B</t>
    </r>
    <r>
      <rPr>
        <vertAlign val="subscript"/>
        <sz val="10"/>
        <rFont val="ＭＳ Ｐゴシック"/>
        <family val="3"/>
      </rPr>
      <t>e</t>
    </r>
    <r>
      <rPr>
        <sz val="10"/>
        <rFont val="ＭＳ Ｐゴシック"/>
        <family val="3"/>
      </rPr>
      <t>・L</t>
    </r>
  </si>
  <si>
    <r>
      <t>(m</t>
    </r>
    <r>
      <rPr>
        <vertAlign val="superscript"/>
        <sz val="10"/>
        <rFont val="ＭＳ Ｐゴシック"/>
        <family val="3"/>
      </rPr>
      <t>2</t>
    </r>
    <r>
      <rPr>
        <sz val="10"/>
        <rFont val="ＭＳ Ｐゴシック"/>
        <family val="3"/>
      </rPr>
      <t>)</t>
    </r>
  </si>
  <si>
    <t>η</t>
  </si>
  <si>
    <t>）</t>
  </si>
  <si>
    <t>／</t>
  </si>
  <si>
    <r>
      <t>B</t>
    </r>
    <r>
      <rPr>
        <vertAlign val="subscript"/>
        <sz val="10"/>
        <rFont val="ＭＳ Ｐゴシック"/>
        <family val="3"/>
      </rPr>
      <t>0</t>
    </r>
  </si>
  <si>
    <t>-1/3</t>
  </si>
  <si>
    <t>荷重傾斜
補正係数</t>
  </si>
  <si>
    <r>
      <t>i</t>
    </r>
    <r>
      <rPr>
        <vertAlign val="subscript"/>
        <sz val="10"/>
        <rFont val="ＭＳ Ｐゴシック"/>
        <family val="3"/>
      </rPr>
      <t>γ</t>
    </r>
  </si>
  <si>
    <t>φ</t>
  </si>
  <si>
    <t>－</t>
  </si>
  <si>
    <r>
      <t>（ただし、θ＞φの場合にはi</t>
    </r>
    <r>
      <rPr>
        <vertAlign val="subscript"/>
        <sz val="10"/>
        <rFont val="ＭＳ Ｐゴシック"/>
        <family val="3"/>
      </rPr>
      <t>γ</t>
    </r>
    <r>
      <rPr>
        <sz val="10"/>
        <rFont val="ＭＳ Ｐゴシック"/>
        <family val="3"/>
      </rPr>
      <t>＝0）</t>
    </r>
  </si>
  <si>
    <r>
      <t>i</t>
    </r>
    <r>
      <rPr>
        <vertAlign val="subscript"/>
        <sz val="10"/>
        <rFont val="ＭＳ Ｐゴシック"/>
        <family val="3"/>
      </rPr>
      <t>c</t>
    </r>
  </si>
  <si>
    <r>
      <t>i</t>
    </r>
    <r>
      <rPr>
        <vertAlign val="subscript"/>
        <sz val="10"/>
        <rFont val="ＭＳ Ｐゴシック"/>
        <family val="3"/>
      </rPr>
      <t>q</t>
    </r>
  </si>
  <si>
    <t>（福井県木材利用研究会作成，2019年8月公開）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</si>
</sst>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0_);[Red]\(0\)"/>
    <numFmt numFmtId="179" formatCode="0_ "/>
    <numFmt numFmtId="180" formatCode="0.0_);[Red]\(0.0\)"/>
    <numFmt numFmtId="181" formatCode="0.0%"/>
    <numFmt numFmtId="182" formatCode="0.0_ "/>
    <numFmt numFmtId="183" formatCode="0.00_ "/>
    <numFmt numFmtId="184" formatCode="0.000_ "/>
    <numFmt numFmtId="185" formatCode="0;_耀"/>
    <numFmt numFmtId="186" formatCode="0;_尀"/>
    <numFmt numFmtId="187" formatCode="0.000000000_ "/>
    <numFmt numFmtId="188" formatCode="0.00000000_ "/>
    <numFmt numFmtId="189" formatCode="0.0000000_ "/>
    <numFmt numFmtId="190" formatCode="0.000000_ "/>
    <numFmt numFmtId="191" formatCode="0.00000_ "/>
    <numFmt numFmtId="192" formatCode="0.0000_ "/>
    <numFmt numFmtId="193" formatCode="#,##0.0_ "/>
    <numFmt numFmtId="194" formatCode="0.00_);[Red]\(0.00\)"/>
    <numFmt numFmtId="195" formatCode="#,##0_ "/>
    <numFmt numFmtId="196" formatCode="#,##0.00_ "/>
    <numFmt numFmtId="197" formatCode="#,##0.000_ "/>
    <numFmt numFmtId="198" formatCode="#,##0.00_ ;[Red]\-#,##0.00\ "/>
    <numFmt numFmtId="199" formatCode="#,##0.0000_ "/>
    <numFmt numFmtId="200" formatCode="0.000E+00"/>
  </numFmts>
  <fonts count="55">
    <font>
      <sz val="11"/>
      <name val="ＭＳ Ｐゴシック"/>
      <family val="3"/>
    </font>
    <font>
      <sz val="6"/>
      <name val="ＭＳ Ｐゴシック"/>
      <family val="3"/>
    </font>
    <font>
      <sz val="8"/>
      <name val="ＭＳ Ｐゴシック"/>
      <family val="3"/>
    </font>
    <font>
      <u val="single"/>
      <sz val="11"/>
      <color indexed="12"/>
      <name val="ＭＳ ゴシック"/>
      <family val="3"/>
    </font>
    <font>
      <u val="single"/>
      <sz val="8.25"/>
      <color indexed="36"/>
      <name val="ＭＳ ゴシック"/>
      <family val="3"/>
    </font>
    <font>
      <sz val="10"/>
      <name val="ＭＳ Ｐゴシック"/>
      <family val="3"/>
    </font>
    <font>
      <sz val="12"/>
      <name val="ＭＳ Ｐゴシック"/>
      <family val="3"/>
    </font>
    <font>
      <sz val="12"/>
      <color indexed="12"/>
      <name val="ＭＳ Ｐゴシック"/>
      <family val="3"/>
    </font>
    <font>
      <sz val="10"/>
      <color indexed="12"/>
      <name val="ＭＳ Ｐゴシック"/>
      <family val="3"/>
    </font>
    <font>
      <vertAlign val="subscript"/>
      <sz val="10"/>
      <name val="ＭＳ Ｐゴシック"/>
      <family val="3"/>
    </font>
    <font>
      <vertAlign val="superscript"/>
      <sz val="10"/>
      <name val="ＭＳ Ｐゴシック"/>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6"/>
      <color indexed="56"/>
      <name val="ＭＳ Ｐゴシック"/>
      <family val="3"/>
    </font>
    <font>
      <sz val="11"/>
      <color indexed="1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FF"/>
      <name val="ＭＳ Ｐゴシック"/>
      <family val="3"/>
    </font>
    <font>
      <b/>
      <sz val="16"/>
      <color theme="3"/>
      <name val="ＭＳ Ｐゴシック"/>
      <family val="3"/>
    </font>
    <font>
      <sz val="11"/>
      <color rgb="FF0000FF"/>
      <name val="ＭＳ Ｐゴシック"/>
      <family val="3"/>
    </font>
    <font>
      <sz val="10"/>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1" fontId="11" fillId="0" borderId="0">
      <alignment vertical="top"/>
      <protection/>
    </xf>
    <xf numFmtId="0" fontId="11" fillId="0" borderId="0">
      <alignment horizontal="left" vertical="top" wrapText="1"/>
      <protection/>
    </xf>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195" fontId="0" fillId="0" borderId="0">
      <alignment vertical="center"/>
      <protection/>
    </xf>
    <xf numFmtId="195" fontId="0" fillId="0" borderId="0">
      <alignment vertical="center"/>
      <protection/>
    </xf>
    <xf numFmtId="195" fontId="0" fillId="0" borderId="0">
      <alignment vertical="center"/>
      <protection/>
    </xf>
    <xf numFmtId="0" fontId="4" fillId="0" borderId="0" applyNumberFormat="0" applyFill="0" applyBorder="0" applyAlignment="0" applyProtection="0"/>
    <xf numFmtId="0" fontId="49" fillId="31" borderId="0" applyNumberFormat="0" applyBorder="0" applyAlignment="0" applyProtection="0"/>
  </cellStyleXfs>
  <cellXfs count="210">
    <xf numFmtId="0" fontId="0" fillId="0" borderId="0" xfId="0" applyAlignment="1">
      <alignment/>
    </xf>
    <xf numFmtId="195" fontId="0" fillId="0" borderId="0" xfId="63" applyAlignment="1">
      <alignment horizontal="center" vertical="center"/>
      <protection/>
    </xf>
    <xf numFmtId="195" fontId="6" fillId="0" borderId="0" xfId="64" applyFont="1" applyFill="1" applyBorder="1">
      <alignment vertical="center"/>
      <protection/>
    </xf>
    <xf numFmtId="195" fontId="5" fillId="0" borderId="0" xfId="64" applyFont="1" applyFill="1" applyBorder="1">
      <alignment vertical="center"/>
      <protection/>
    </xf>
    <xf numFmtId="195" fontId="5" fillId="0" borderId="0" xfId="64" applyFont="1" applyFill="1" applyBorder="1" applyAlignment="1">
      <alignment horizontal="center" vertical="center"/>
      <protection/>
    </xf>
    <xf numFmtId="193" fontId="5" fillId="0" borderId="0" xfId="64" applyNumberFormat="1" applyFont="1" applyFill="1" applyBorder="1">
      <alignment vertical="center"/>
      <protection/>
    </xf>
    <xf numFmtId="195" fontId="7" fillId="0" borderId="0" xfId="64" applyFont="1" applyFill="1" applyBorder="1">
      <alignment vertical="center"/>
      <protection/>
    </xf>
    <xf numFmtId="195" fontId="5" fillId="0" borderId="0" xfId="64" applyFont="1" applyFill="1" applyBorder="1" applyAlignment="1">
      <alignment vertical="center"/>
      <protection/>
    </xf>
    <xf numFmtId="195" fontId="8" fillId="0" borderId="0" xfId="64" applyFont="1" applyFill="1" applyBorder="1">
      <alignment vertical="center"/>
      <protection/>
    </xf>
    <xf numFmtId="195" fontId="5" fillId="0" borderId="0" xfId="64" applyFont="1" applyFill="1" applyBorder="1" applyAlignment="1">
      <alignment horizontal="right" vertical="center"/>
      <protection/>
    </xf>
    <xf numFmtId="49" fontId="5" fillId="0" borderId="0" xfId="64" applyNumberFormat="1" applyFont="1" applyFill="1" applyBorder="1" applyAlignment="1">
      <alignment horizontal="center" vertical="center"/>
      <protection/>
    </xf>
    <xf numFmtId="195" fontId="5" fillId="0" borderId="0" xfId="64" applyFont="1" applyFill="1" applyBorder="1" applyAlignment="1">
      <alignment vertical="center" wrapText="1"/>
      <protection/>
    </xf>
    <xf numFmtId="196" fontId="5" fillId="0" borderId="0" xfId="64" applyNumberFormat="1" applyFont="1" applyFill="1" applyBorder="1" applyAlignment="1">
      <alignment horizontal="center" vertical="center"/>
      <protection/>
    </xf>
    <xf numFmtId="193" fontId="5" fillId="32" borderId="0" xfId="64" applyNumberFormat="1" applyFont="1" applyFill="1" applyBorder="1" applyAlignment="1">
      <alignment horizontal="center" vertical="center"/>
      <protection/>
    </xf>
    <xf numFmtId="193"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center" vertical="center"/>
      <protection/>
    </xf>
    <xf numFmtId="196" fontId="5" fillId="0" borderId="0" xfId="64" applyNumberFormat="1" applyFont="1" applyFill="1" applyBorder="1" applyAlignment="1">
      <alignment vertical="center"/>
      <protection/>
    </xf>
    <xf numFmtId="195" fontId="5" fillId="0" borderId="0" xfId="64" applyNumberFormat="1" applyFont="1" applyFill="1" applyBorder="1" applyAlignment="1">
      <alignment vertical="center"/>
      <protection/>
    </xf>
    <xf numFmtId="193" fontId="5" fillId="32" borderId="0" xfId="64" applyNumberFormat="1" applyFont="1" applyFill="1" applyBorder="1" applyAlignment="1">
      <alignment vertical="center"/>
      <protection/>
    </xf>
    <xf numFmtId="195" fontId="5" fillId="0" borderId="0" xfId="64" applyFont="1" applyFill="1" applyBorder="1" applyAlignment="1" quotePrefix="1">
      <alignment horizontal="center" vertical="center"/>
      <protection/>
    </xf>
    <xf numFmtId="195" fontId="5" fillId="0" borderId="10" xfId="64" applyFont="1" applyFill="1" applyBorder="1" applyAlignment="1">
      <alignment horizontal="center" vertical="center"/>
      <protection/>
    </xf>
    <xf numFmtId="195" fontId="2" fillId="0" borderId="0" xfId="64" applyFont="1" applyFill="1" applyBorder="1" applyAlignment="1">
      <alignment vertical="center"/>
      <protection/>
    </xf>
    <xf numFmtId="196" fontId="2" fillId="0" borderId="0" xfId="64" applyNumberFormat="1" applyFont="1" applyFill="1" applyBorder="1" applyAlignment="1">
      <alignment vertical="center"/>
      <protection/>
    </xf>
    <xf numFmtId="195" fontId="6" fillId="0" borderId="0" xfId="64" applyFont="1" applyFill="1" applyBorder="1" applyAlignment="1">
      <alignment vertical="center"/>
      <protection/>
    </xf>
    <xf numFmtId="195" fontId="5" fillId="0" borderId="0" xfId="64" applyFont="1" applyFill="1" applyBorder="1" applyAlignment="1">
      <alignment horizontal="center" vertical="center" textRotation="255"/>
      <protection/>
    </xf>
    <xf numFmtId="195" fontId="5" fillId="0" borderId="0" xfId="64" applyFont="1" applyFill="1" applyBorder="1" applyAlignment="1">
      <alignment horizontal="left" vertical="center"/>
      <protection/>
    </xf>
    <xf numFmtId="198" fontId="5" fillId="0" borderId="0" xfId="64" applyNumberFormat="1" applyFont="1" applyFill="1" applyBorder="1">
      <alignment vertical="center"/>
      <protection/>
    </xf>
    <xf numFmtId="197" fontId="5" fillId="0" borderId="0" xfId="64" applyNumberFormat="1" applyFont="1" applyFill="1" applyBorder="1" applyAlignment="1">
      <alignment vertical="center"/>
      <protection/>
    </xf>
    <xf numFmtId="195" fontId="5" fillId="0" borderId="11" xfId="64"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3" fontId="5" fillId="0" borderId="0" xfId="64" applyNumberFormat="1" applyFont="1" applyFill="1" applyBorder="1" applyAlignment="1">
      <alignment vertical="center"/>
      <protection/>
    </xf>
    <xf numFmtId="193" fontId="0" fillId="0" borderId="0" xfId="63" applyNumberFormat="1">
      <alignment vertical="center"/>
      <protection/>
    </xf>
    <xf numFmtId="197" fontId="0" fillId="0" borderId="0" xfId="63" applyNumberFormat="1">
      <alignment vertical="center"/>
      <protection/>
    </xf>
    <xf numFmtId="195" fontId="0" fillId="0" borderId="0" xfId="63">
      <alignment vertical="center"/>
      <protection/>
    </xf>
    <xf numFmtId="197" fontId="0" fillId="0" borderId="0" xfId="63" applyNumberFormat="1" applyAlignment="1">
      <alignment horizontal="center" vertical="center"/>
      <protection/>
    </xf>
    <xf numFmtId="195" fontId="0" fillId="0" borderId="0" xfId="63" applyNumberFormat="1">
      <alignment vertical="center"/>
      <protection/>
    </xf>
    <xf numFmtId="196" fontId="0" fillId="0" borderId="0" xfId="63" applyNumberFormat="1">
      <alignment vertical="center"/>
      <protection/>
    </xf>
    <xf numFmtId="197" fontId="5" fillId="0" borderId="0" xfId="64" applyNumberFormat="1" applyFont="1" applyFill="1" applyBorder="1">
      <alignment vertical="center"/>
      <protection/>
    </xf>
    <xf numFmtId="196" fontId="5" fillId="0" borderId="0" xfId="64" applyNumberFormat="1" applyFont="1" applyFill="1" applyBorder="1">
      <alignment vertical="center"/>
      <protection/>
    </xf>
    <xf numFmtId="195" fontId="5" fillId="0" borderId="12" xfId="64" applyFont="1" applyFill="1" applyBorder="1" applyAlignment="1">
      <alignment vertical="center"/>
      <protection/>
    </xf>
    <xf numFmtId="195" fontId="10" fillId="0" borderId="0" xfId="64" applyFont="1" applyFill="1" applyBorder="1" applyAlignment="1" quotePrefix="1">
      <alignment vertical="center"/>
      <protection/>
    </xf>
    <xf numFmtId="195" fontId="10" fillId="0" borderId="11" xfId="64" applyFont="1" applyFill="1" applyBorder="1" applyAlignment="1">
      <alignment horizontal="left" vertical="top"/>
      <protection/>
    </xf>
    <xf numFmtId="195" fontId="2" fillId="0" borderId="0" xfId="64" applyFont="1" applyFill="1" applyBorder="1" applyAlignment="1">
      <alignment vertical="center" wrapText="1"/>
      <protection/>
    </xf>
    <xf numFmtId="195" fontId="5" fillId="0" borderId="0" xfId="64" applyNumberFormat="1" applyFont="1" applyFill="1" applyBorder="1">
      <alignment vertical="center"/>
      <protection/>
    </xf>
    <xf numFmtId="195" fontId="10" fillId="0" borderId="0" xfId="64" applyFont="1" applyFill="1" applyBorder="1" applyAlignment="1">
      <alignment horizontal="left" vertical="top"/>
      <protection/>
    </xf>
    <xf numFmtId="195" fontId="0" fillId="33" borderId="13" xfId="63" applyFill="1" applyBorder="1" applyAlignment="1">
      <alignment horizontal="center" vertical="center" shrinkToFit="1"/>
      <protection/>
    </xf>
    <xf numFmtId="195" fontId="0" fillId="0" borderId="10" xfId="63" applyFill="1" applyBorder="1" applyAlignment="1">
      <alignment horizontal="center" vertical="center" shrinkToFit="1"/>
      <protection/>
    </xf>
    <xf numFmtId="196" fontId="0" fillId="0" borderId="14" xfId="63" applyNumberFormat="1" applyFill="1" applyBorder="1" applyAlignment="1">
      <alignment horizontal="center" vertical="center" shrinkToFit="1"/>
      <protection/>
    </xf>
    <xf numFmtId="195" fontId="0" fillId="0" borderId="13" xfId="63" applyFill="1" applyBorder="1" applyAlignment="1">
      <alignment horizontal="center" vertical="center" shrinkToFit="1"/>
      <protection/>
    </xf>
    <xf numFmtId="196" fontId="0" fillId="0" borderId="15" xfId="63" applyNumberFormat="1" applyFill="1" applyBorder="1" applyAlignment="1">
      <alignment horizontal="center" vertical="center" shrinkToFit="1"/>
      <protection/>
    </xf>
    <xf numFmtId="195" fontId="0" fillId="0" borderId="0" xfId="63" applyFill="1" applyAlignment="1">
      <alignment horizontal="center" vertical="center"/>
      <protection/>
    </xf>
    <xf numFmtId="197" fontId="0" fillId="0" borderId="10" xfId="63" applyNumberFormat="1" applyFill="1" applyBorder="1" applyAlignment="1">
      <alignment horizontal="center" vertical="center" shrinkToFit="1"/>
      <protection/>
    </xf>
    <xf numFmtId="195" fontId="0" fillId="0" borderId="10" xfId="63" applyNumberFormat="1" applyFill="1" applyBorder="1" applyAlignment="1">
      <alignment horizontal="center" vertical="center" shrinkToFit="1"/>
      <protection/>
    </xf>
    <xf numFmtId="193" fontId="0" fillId="0" borderId="10" xfId="63" applyNumberFormat="1" applyFill="1" applyBorder="1" applyAlignment="1">
      <alignment horizontal="center" vertical="center" shrinkToFit="1"/>
      <protection/>
    </xf>
    <xf numFmtId="195" fontId="0" fillId="33" borderId="10" xfId="63" applyFill="1" applyBorder="1" applyAlignment="1">
      <alignment horizontal="center" vertical="center" shrinkToFit="1"/>
      <protection/>
    </xf>
    <xf numFmtId="195" fontId="0" fillId="33" borderId="14" xfId="63" applyFill="1" applyBorder="1" applyAlignment="1">
      <alignment horizontal="center" vertical="center" shrinkToFit="1"/>
      <protection/>
    </xf>
    <xf numFmtId="195" fontId="0" fillId="33" borderId="15" xfId="63" applyFill="1" applyBorder="1" applyAlignment="1">
      <alignment horizontal="center" vertical="center" shrinkToFit="1"/>
      <protection/>
    </xf>
    <xf numFmtId="195" fontId="0" fillId="0" borderId="10" xfId="63" applyFont="1" applyFill="1" applyBorder="1" applyAlignment="1">
      <alignment vertical="center"/>
      <protection/>
    </xf>
    <xf numFmtId="195" fontId="0" fillId="33" borderId="0" xfId="63" applyFill="1" applyAlignment="1">
      <alignment horizontal="center" vertical="center"/>
      <protection/>
    </xf>
    <xf numFmtId="195" fontId="0" fillId="0" borderId="10" xfId="63" applyNumberFormat="1" applyFont="1" applyFill="1" applyBorder="1" applyAlignment="1">
      <alignment horizontal="center" vertical="center" shrinkToFit="1"/>
      <protection/>
    </xf>
    <xf numFmtId="193" fontId="0" fillId="0" borderId="10" xfId="63" applyNumberFormat="1" applyFont="1" applyFill="1" applyBorder="1" applyAlignment="1">
      <alignment horizontal="center" vertical="center" shrinkToFit="1"/>
      <protection/>
    </xf>
    <xf numFmtId="196" fontId="0" fillId="0" borderId="14" xfId="63" applyNumberFormat="1" applyFont="1" applyFill="1" applyBorder="1" applyAlignment="1">
      <alignment horizontal="center" vertical="center" shrinkToFit="1"/>
      <protection/>
    </xf>
    <xf numFmtId="195" fontId="5" fillId="34" borderId="0" xfId="64" applyFont="1" applyFill="1" applyBorder="1">
      <alignment vertical="center"/>
      <protection/>
    </xf>
    <xf numFmtId="195" fontId="5" fillId="34" borderId="16" xfId="64" applyFont="1" applyFill="1" applyBorder="1" applyAlignment="1">
      <alignment horizontal="right" vertical="center"/>
      <protection/>
    </xf>
    <xf numFmtId="195" fontId="5" fillId="34" borderId="17" xfId="64" applyFont="1" applyFill="1" applyBorder="1">
      <alignment vertical="center"/>
      <protection/>
    </xf>
    <xf numFmtId="195" fontId="5" fillId="34" borderId="10" xfId="64" applyFont="1" applyFill="1" applyBorder="1" applyAlignment="1">
      <alignment horizontal="center" vertical="center"/>
      <protection/>
    </xf>
    <xf numFmtId="195" fontId="50" fillId="34" borderId="10" xfId="64" applyFont="1" applyFill="1" applyBorder="1" applyAlignment="1">
      <alignment horizontal="center" vertical="center"/>
      <protection/>
    </xf>
    <xf numFmtId="195" fontId="51" fillId="34" borderId="0" xfId="64" applyFont="1" applyFill="1" applyBorder="1" applyAlignment="1">
      <alignment vertical="center"/>
      <protection/>
    </xf>
    <xf numFmtId="195" fontId="50" fillId="34" borderId="0" xfId="64" applyFont="1" applyFill="1" applyBorder="1">
      <alignment vertical="center"/>
      <protection/>
    </xf>
    <xf numFmtId="195" fontId="50" fillId="34" borderId="18" xfId="64" applyFont="1" applyFill="1" applyBorder="1" applyAlignment="1">
      <alignment horizontal="center" vertical="center"/>
      <protection/>
    </xf>
    <xf numFmtId="197" fontId="5" fillId="34" borderId="10" xfId="64" applyNumberFormat="1" applyFont="1" applyFill="1" applyBorder="1" applyAlignment="1">
      <alignment vertical="center"/>
      <protection/>
    </xf>
    <xf numFmtId="197" fontId="5" fillId="34" borderId="10" xfId="64" applyNumberFormat="1" applyFont="1" applyFill="1" applyBorder="1" applyAlignment="1">
      <alignment horizontal="center" vertical="center"/>
      <protection/>
    </xf>
    <xf numFmtId="195" fontId="1" fillId="34" borderId="10" xfId="64" applyFont="1" applyFill="1" applyBorder="1" applyAlignment="1">
      <alignment horizontal="center" vertical="center" wrapText="1"/>
      <protection/>
    </xf>
    <xf numFmtId="196" fontId="5" fillId="34" borderId="10" xfId="64" applyNumberFormat="1" applyFont="1" applyFill="1" applyBorder="1" applyAlignment="1">
      <alignment vertical="center"/>
      <protection/>
    </xf>
    <xf numFmtId="195" fontId="50" fillId="34" borderId="19" xfId="64" applyFont="1" applyFill="1" applyBorder="1" applyAlignment="1">
      <alignment horizontal="center" vertical="center"/>
      <protection/>
    </xf>
    <xf numFmtId="195" fontId="50" fillId="34" borderId="20" xfId="64" applyFont="1" applyFill="1" applyBorder="1" applyAlignment="1">
      <alignment horizontal="center" vertical="center"/>
      <protection/>
    </xf>
    <xf numFmtId="195" fontId="50" fillId="34" borderId="21" xfId="64" applyFont="1" applyFill="1" applyBorder="1" applyAlignment="1">
      <alignment horizontal="center" vertical="center"/>
      <protection/>
    </xf>
    <xf numFmtId="193" fontId="51" fillId="34" borderId="0" xfId="64" applyNumberFormat="1" applyFont="1" applyFill="1" applyBorder="1" applyAlignment="1" applyProtection="1">
      <alignment vertical="center"/>
      <protection locked="0"/>
    </xf>
    <xf numFmtId="193" fontId="51" fillId="34" borderId="0" xfId="64" applyNumberFormat="1" applyFont="1" applyFill="1" applyBorder="1" applyProtection="1">
      <alignment vertical="center"/>
      <protection locked="0"/>
    </xf>
    <xf numFmtId="197" fontId="51" fillId="34" borderId="0" xfId="64" applyNumberFormat="1" applyFont="1" applyFill="1" applyBorder="1" applyProtection="1">
      <alignment vertical="center"/>
      <protection locked="0"/>
    </xf>
    <xf numFmtId="195" fontId="51" fillId="34" borderId="0" xfId="64" applyFont="1" applyFill="1" applyBorder="1" applyProtection="1">
      <alignment vertical="center"/>
      <protection locked="0"/>
    </xf>
    <xf numFmtId="195" fontId="51" fillId="34" borderId="0" xfId="64" applyNumberFormat="1" applyFont="1" applyFill="1" applyBorder="1" applyProtection="1">
      <alignment vertical="center"/>
      <protection locked="0"/>
    </xf>
    <xf numFmtId="196" fontId="8" fillId="34" borderId="10" xfId="64" applyNumberFormat="1" applyFont="1" applyFill="1" applyBorder="1" applyAlignment="1" applyProtection="1">
      <alignment vertical="center"/>
      <protection locked="0"/>
    </xf>
    <xf numFmtId="197" fontId="8" fillId="34" borderId="10" xfId="64" applyNumberFormat="1" applyFont="1" applyFill="1" applyBorder="1" applyAlignment="1" applyProtection="1">
      <alignment vertical="center"/>
      <protection locked="0"/>
    </xf>
    <xf numFmtId="195" fontId="52" fillId="0" borderId="0" xfId="64" applyFont="1" applyFill="1" applyBorder="1">
      <alignment vertical="center"/>
      <protection/>
    </xf>
    <xf numFmtId="195" fontId="53" fillId="0" borderId="0" xfId="63" applyFont="1" applyFill="1" applyAlignment="1" applyProtection="1">
      <alignment vertical="center"/>
      <protection locked="0"/>
    </xf>
    <xf numFmtId="195" fontId="5" fillId="0" borderId="0" xfId="64" applyFont="1" applyFill="1" applyBorder="1" applyAlignment="1" quotePrefix="1">
      <alignment vertical="center"/>
      <protection/>
    </xf>
    <xf numFmtId="195" fontId="5" fillId="34" borderId="0" xfId="64" applyFont="1" applyFill="1" applyBorder="1">
      <alignment vertical="center"/>
      <protection/>
    </xf>
    <xf numFmtId="14" fontId="5" fillId="0" borderId="0" xfId="64" applyNumberFormat="1" applyFont="1" applyFill="1" applyBorder="1" quotePrefix="1">
      <alignment vertical="center"/>
      <protection/>
    </xf>
    <xf numFmtId="196" fontId="51" fillId="34" borderId="0" xfId="64" applyNumberFormat="1" applyFont="1" applyFill="1" applyBorder="1" applyProtection="1">
      <alignment vertical="center"/>
      <protection locked="0"/>
    </xf>
    <xf numFmtId="195" fontId="50" fillId="34" borderId="0" xfId="64" applyFont="1" applyFill="1" applyBorder="1" applyAlignment="1">
      <alignment horizontal="center" vertical="center"/>
      <protection/>
    </xf>
    <xf numFmtId="197" fontId="5" fillId="0" borderId="0" xfId="64" applyNumberFormat="1" applyFont="1" applyFill="1" applyBorder="1" applyAlignment="1">
      <alignment horizontal="center" vertical="center"/>
      <protection/>
    </xf>
    <xf numFmtId="195" fontId="10" fillId="0" borderId="0" xfId="64" applyFont="1" applyFill="1" applyBorder="1" applyAlignment="1" quotePrefix="1">
      <alignment horizontal="center" vertical="center"/>
      <protection/>
    </xf>
    <xf numFmtId="197" fontId="0" fillId="0" borderId="0" xfId="63" applyNumberFormat="1" applyFill="1">
      <alignment vertical="center"/>
      <protection/>
    </xf>
    <xf numFmtId="195" fontId="0" fillId="0" borderId="0" xfId="63" applyNumberFormat="1" applyFill="1">
      <alignment vertical="center"/>
      <protection/>
    </xf>
    <xf numFmtId="196" fontId="0" fillId="0" borderId="0" xfId="63" applyNumberFormat="1" applyFill="1">
      <alignment vertical="center"/>
      <protection/>
    </xf>
    <xf numFmtId="195" fontId="0" fillId="33" borderId="14" xfId="63" applyFont="1" applyFill="1" applyBorder="1" applyAlignment="1">
      <alignment horizontal="center" vertical="center" wrapText="1"/>
      <protection/>
    </xf>
    <xf numFmtId="195" fontId="0" fillId="33" borderId="13" xfId="63" applyFont="1" applyFill="1" applyBorder="1" applyAlignment="1">
      <alignment horizontal="center" vertical="center" wrapText="1"/>
      <protection/>
    </xf>
    <xf numFmtId="195" fontId="0" fillId="33" borderId="15" xfId="63" applyFont="1" applyFill="1" applyBorder="1" applyAlignment="1">
      <alignment horizontal="center" vertical="center" wrapText="1"/>
      <protection/>
    </xf>
    <xf numFmtId="195" fontId="0" fillId="33" borderId="16" xfId="63" applyFont="1" applyFill="1" applyBorder="1" applyAlignment="1">
      <alignment horizontal="center" vertical="center" wrapText="1"/>
      <protection/>
    </xf>
    <xf numFmtId="195" fontId="0" fillId="33" borderId="22" xfId="63" applyFont="1" applyFill="1" applyBorder="1" applyAlignment="1">
      <alignment horizontal="center" vertical="center" wrapText="1"/>
      <protection/>
    </xf>
    <xf numFmtId="195" fontId="0" fillId="33" borderId="17" xfId="63" applyFont="1" applyFill="1" applyBorder="1" applyAlignment="1">
      <alignment horizontal="center" vertical="center" wrapText="1"/>
      <protection/>
    </xf>
    <xf numFmtId="195" fontId="0" fillId="33" borderId="13" xfId="63" applyFill="1" applyBorder="1" applyAlignment="1">
      <alignment horizontal="center" vertical="center" wrapText="1"/>
      <protection/>
    </xf>
    <xf numFmtId="195" fontId="0" fillId="33" borderId="15" xfId="63" applyFill="1" applyBorder="1" applyAlignment="1">
      <alignment horizontal="center" vertical="center" wrapText="1"/>
      <protection/>
    </xf>
    <xf numFmtId="195" fontId="0" fillId="33" borderId="14" xfId="63" applyFill="1" applyBorder="1" applyAlignment="1">
      <alignment horizontal="center" vertical="center" wrapText="1"/>
      <protection/>
    </xf>
    <xf numFmtId="195" fontId="0" fillId="33" borderId="10" xfId="63" applyFill="1" applyBorder="1" applyAlignment="1">
      <alignment horizontal="center" vertical="center" wrapText="1"/>
      <protection/>
    </xf>
    <xf numFmtId="195" fontId="0" fillId="33" borderId="10" xfId="63" applyFont="1" applyFill="1" applyBorder="1" applyAlignment="1">
      <alignment horizontal="center" vertical="center" wrapText="1"/>
      <protection/>
    </xf>
    <xf numFmtId="195" fontId="0" fillId="33" borderId="14" xfId="63" applyFill="1" applyBorder="1" applyAlignment="1">
      <alignment horizontal="center" vertical="center"/>
      <protection/>
    </xf>
    <xf numFmtId="195" fontId="0" fillId="33" borderId="13" xfId="63" applyFill="1" applyBorder="1" applyAlignment="1">
      <alignment horizontal="center" vertical="center"/>
      <protection/>
    </xf>
    <xf numFmtId="195" fontId="0" fillId="33" borderId="15" xfId="63" applyFill="1" applyBorder="1" applyAlignment="1">
      <alignment horizontal="center" vertical="center"/>
      <protection/>
    </xf>
    <xf numFmtId="195" fontId="6" fillId="0" borderId="11" xfId="63" applyFont="1" applyBorder="1" applyAlignment="1">
      <alignment horizontal="center" vertical="center"/>
      <protection/>
    </xf>
    <xf numFmtId="195" fontId="0" fillId="33" borderId="16" xfId="63" applyFont="1" applyFill="1" applyBorder="1" applyAlignment="1">
      <alignment horizontal="center" vertical="center"/>
      <protection/>
    </xf>
    <xf numFmtId="195" fontId="0" fillId="33" borderId="22" xfId="63" applyFill="1" applyBorder="1" applyAlignment="1">
      <alignment horizontal="center" vertical="center"/>
      <protection/>
    </xf>
    <xf numFmtId="195" fontId="0" fillId="33" borderId="17" xfId="63" applyFill="1" applyBorder="1" applyAlignment="1">
      <alignment horizontal="center" vertical="center"/>
      <protection/>
    </xf>
    <xf numFmtId="197" fontId="5" fillId="0" borderId="0" xfId="64" applyNumberFormat="1" applyFont="1" applyFill="1" applyBorder="1" applyAlignment="1">
      <alignment vertical="center"/>
      <protection/>
    </xf>
    <xf numFmtId="195" fontId="0" fillId="0" borderId="0" xfId="63" applyAlignment="1">
      <alignment horizontal="center" vertical="center"/>
      <protection/>
    </xf>
    <xf numFmtId="195" fontId="5" fillId="0" borderId="0" xfId="64" applyFont="1" applyFill="1" applyBorder="1" applyAlignment="1">
      <alignment horizontal="center" vertical="center"/>
      <protection/>
    </xf>
    <xf numFmtId="196" fontId="5" fillId="0" borderId="0" xfId="64" applyNumberFormat="1" applyFont="1" applyFill="1" applyBorder="1" applyAlignment="1">
      <alignment vertical="center"/>
      <protection/>
    </xf>
    <xf numFmtId="195" fontId="5" fillId="0" borderId="11" xfId="64"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5" fontId="5" fillId="0" borderId="0" xfId="64" applyFont="1" applyFill="1" applyBorder="1">
      <alignment vertical="center"/>
      <protection/>
    </xf>
    <xf numFmtId="195" fontId="5" fillId="0" borderId="12" xfId="64" applyFont="1" applyFill="1" applyBorder="1" applyAlignment="1">
      <alignment horizontal="center" vertical="center"/>
      <protection/>
    </xf>
    <xf numFmtId="196" fontId="5" fillId="35" borderId="0" xfId="64" applyNumberFormat="1" applyFont="1" applyFill="1" applyBorder="1" applyAlignment="1">
      <alignment vertical="center"/>
      <protection/>
    </xf>
    <xf numFmtId="195" fontId="5" fillId="0" borderId="0" xfId="64" applyFont="1" applyFill="1" applyBorder="1" applyAlignment="1">
      <alignment vertical="center"/>
      <protection/>
    </xf>
    <xf numFmtId="193" fontId="5" fillId="0" borderId="0" xfId="64" applyNumberFormat="1" applyFont="1" applyFill="1" applyBorder="1" applyAlignment="1">
      <alignment vertical="center"/>
      <protection/>
    </xf>
    <xf numFmtId="195" fontId="5" fillId="0" borderId="0" xfId="64" applyFont="1" applyFill="1" applyBorder="1" applyAlignment="1">
      <alignment vertical="center" wrapText="1"/>
      <protection/>
    </xf>
    <xf numFmtId="195" fontId="5" fillId="0" borderId="0" xfId="64" applyFont="1" applyFill="1" applyBorder="1" applyAlignment="1">
      <alignment vertical="center" shrinkToFit="1"/>
      <protection/>
    </xf>
    <xf numFmtId="195" fontId="5" fillId="0" borderId="10" xfId="64" applyFont="1" applyFill="1" applyBorder="1" applyAlignment="1">
      <alignment horizontal="center" vertical="center"/>
      <protection/>
    </xf>
    <xf numFmtId="195" fontId="5" fillId="34" borderId="16" xfId="64" applyFont="1" applyFill="1" applyBorder="1" applyAlignment="1">
      <alignment horizontal="center" vertical="center"/>
      <protection/>
    </xf>
    <xf numFmtId="195" fontId="5" fillId="34" borderId="17" xfId="64" applyFont="1" applyFill="1" applyBorder="1" applyAlignment="1">
      <alignment horizontal="center" vertical="center"/>
      <protection/>
    </xf>
    <xf numFmtId="193" fontId="5" fillId="0" borderId="0" xfId="64" applyNumberFormat="1" applyFont="1" applyFill="1" applyBorder="1">
      <alignment vertical="center"/>
      <protection/>
    </xf>
    <xf numFmtId="193" fontId="5" fillId="35" borderId="0" xfId="64" applyNumberFormat="1" applyFont="1" applyFill="1" applyBorder="1">
      <alignment vertical="center"/>
      <protection/>
    </xf>
    <xf numFmtId="195" fontId="5" fillId="35" borderId="0" xfId="64" applyFont="1" applyFill="1" applyBorder="1">
      <alignment vertical="center"/>
      <protection/>
    </xf>
    <xf numFmtId="195" fontId="54" fillId="36" borderId="0" xfId="64" applyFont="1" applyFill="1" applyBorder="1">
      <alignment vertical="center"/>
      <protection/>
    </xf>
    <xf numFmtId="195" fontId="5" fillId="36" borderId="0" xfId="64" applyNumberFormat="1" applyFont="1" applyFill="1" applyBorder="1" applyAlignment="1">
      <alignment horizontal="right" vertical="center"/>
      <protection/>
    </xf>
    <xf numFmtId="195" fontId="5" fillId="34" borderId="14" xfId="64" applyFont="1" applyFill="1" applyBorder="1" applyAlignment="1">
      <alignment horizontal="center" vertical="center"/>
      <protection/>
    </xf>
    <xf numFmtId="195" fontId="5" fillId="34" borderId="15" xfId="64" applyFont="1" applyFill="1" applyBorder="1" applyAlignment="1">
      <alignment horizontal="center" vertical="center"/>
      <protection/>
    </xf>
    <xf numFmtId="195" fontId="5" fillId="34" borderId="10" xfId="64" applyFont="1" applyFill="1" applyBorder="1" applyAlignment="1">
      <alignment vertical="center" wrapText="1"/>
      <protection/>
    </xf>
    <xf numFmtId="195" fontId="5" fillId="35" borderId="0" xfId="64" applyFont="1" applyFill="1" applyBorder="1" applyAlignment="1">
      <alignment horizontal="center" vertical="center"/>
      <protection/>
    </xf>
    <xf numFmtId="196" fontId="5" fillId="35" borderId="0" xfId="64" applyNumberFormat="1" applyFont="1" applyFill="1" applyBorder="1">
      <alignment vertical="center"/>
      <protection/>
    </xf>
    <xf numFmtId="195" fontId="5" fillId="35" borderId="0" xfId="64" applyFont="1" applyFill="1" applyBorder="1" applyAlignment="1">
      <alignment horizontal="right" vertical="center"/>
      <protection/>
    </xf>
    <xf numFmtId="195" fontId="5" fillId="36" borderId="0" xfId="64" applyNumberFormat="1" applyFont="1" applyFill="1" applyBorder="1">
      <alignment vertical="center"/>
      <protection/>
    </xf>
    <xf numFmtId="195" fontId="5" fillId="36" borderId="0" xfId="64" applyFont="1" applyFill="1" applyBorder="1">
      <alignment vertical="center"/>
      <protection/>
    </xf>
    <xf numFmtId="195" fontId="5" fillId="0" borderId="10" xfId="64" applyFont="1" applyFill="1" applyBorder="1" applyAlignment="1">
      <alignment horizontal="center" vertical="center" wrapText="1"/>
      <protection/>
    </xf>
    <xf numFmtId="195" fontId="5" fillId="0" borderId="10" xfId="64" applyFont="1" applyFill="1" applyBorder="1" applyAlignment="1">
      <alignment horizontal="center" vertical="center" textRotation="255"/>
      <protection/>
    </xf>
    <xf numFmtId="195" fontId="5" fillId="0" borderId="14" xfId="64" applyFont="1" applyFill="1" applyBorder="1" applyAlignment="1">
      <alignment horizontal="right" vertical="center"/>
      <protection/>
    </xf>
    <xf numFmtId="195" fontId="5" fillId="0" borderId="13" xfId="64" applyFont="1" applyFill="1" applyBorder="1" applyAlignment="1">
      <alignment horizontal="right" vertical="center"/>
      <protection/>
    </xf>
    <xf numFmtId="193" fontId="5" fillId="37" borderId="13" xfId="64" applyNumberFormat="1" applyFont="1" applyFill="1" applyBorder="1">
      <alignment vertical="center"/>
      <protection/>
    </xf>
    <xf numFmtId="195" fontId="5" fillId="0" borderId="13" xfId="64" applyFont="1" applyFill="1" applyBorder="1" applyAlignment="1">
      <alignment horizontal="left" vertical="center"/>
      <protection/>
    </xf>
    <xf numFmtId="195" fontId="5" fillId="0" borderId="15" xfId="64" applyFont="1" applyFill="1" applyBorder="1" applyAlignment="1">
      <alignment horizontal="left" vertical="center"/>
      <protection/>
    </xf>
    <xf numFmtId="198" fontId="5" fillId="0" borderId="10" xfId="64" applyNumberFormat="1" applyFont="1" applyFill="1" applyBorder="1">
      <alignment vertical="center"/>
      <protection/>
    </xf>
    <xf numFmtId="198" fontId="5" fillId="0" borderId="10" xfId="64" applyNumberFormat="1" applyFont="1" applyFill="1" applyBorder="1" applyAlignment="1">
      <alignment horizontal="center" vertical="center"/>
      <protection/>
    </xf>
    <xf numFmtId="198" fontId="5" fillId="0" borderId="10" xfId="64" applyNumberFormat="1" applyFont="1" applyFill="1" applyBorder="1" applyAlignment="1">
      <alignment vertical="center"/>
      <protection/>
    </xf>
    <xf numFmtId="198" fontId="5" fillId="0" borderId="10" xfId="64" applyNumberFormat="1" applyFont="1" applyFill="1" applyBorder="1" applyAlignment="1">
      <alignment horizontal="right" vertical="center"/>
      <protection/>
    </xf>
    <xf numFmtId="195" fontId="5" fillId="0" borderId="0" xfId="64" applyFont="1" applyFill="1" applyBorder="1" applyAlignment="1">
      <alignment horizontal="left" vertical="top" wrapText="1"/>
      <protection/>
    </xf>
    <xf numFmtId="196" fontId="5" fillId="0" borderId="0" xfId="64" applyNumberFormat="1" applyFont="1" applyFill="1" applyBorder="1">
      <alignment vertical="center"/>
      <protection/>
    </xf>
    <xf numFmtId="195" fontId="5" fillId="0" borderId="11" xfId="64" applyFont="1" applyFill="1" applyBorder="1" applyAlignment="1">
      <alignment horizontal="right" vertical="center"/>
      <protection/>
    </xf>
    <xf numFmtId="193" fontId="5" fillId="0" borderId="11" xfId="64" applyNumberFormat="1" applyFont="1" applyFill="1" applyBorder="1" applyAlignment="1">
      <alignment horizontal="center" vertical="center"/>
      <protection/>
    </xf>
    <xf numFmtId="195" fontId="5" fillId="0" borderId="11" xfId="64" applyFont="1" applyFill="1" applyBorder="1" applyAlignment="1">
      <alignment horizontal="left" vertical="center"/>
      <protection/>
    </xf>
    <xf numFmtId="196" fontId="5" fillId="35" borderId="10" xfId="64" applyNumberFormat="1" applyFont="1" applyFill="1" applyBorder="1" applyAlignment="1">
      <alignment vertical="center"/>
      <protection/>
    </xf>
    <xf numFmtId="197" fontId="5" fillId="35" borderId="10" xfId="64" applyNumberFormat="1" applyFont="1" applyFill="1" applyBorder="1" applyAlignment="1">
      <alignment vertical="center"/>
      <protection/>
    </xf>
    <xf numFmtId="197" fontId="5" fillId="0" borderId="10" xfId="64" applyNumberFormat="1" applyFont="1" applyFill="1" applyBorder="1" applyAlignment="1">
      <alignment vertical="center"/>
      <protection/>
    </xf>
    <xf numFmtId="197" fontId="5" fillId="0" borderId="10" xfId="64" applyNumberFormat="1" applyFont="1" applyFill="1" applyBorder="1" applyAlignment="1">
      <alignment horizontal="center" vertical="center"/>
      <protection/>
    </xf>
    <xf numFmtId="195" fontId="5" fillId="0" borderId="23" xfId="64" applyFont="1" applyFill="1" applyBorder="1" applyAlignment="1">
      <alignment vertical="center" wrapText="1"/>
      <protection/>
    </xf>
    <xf numFmtId="195" fontId="5" fillId="0" borderId="12" xfId="64" applyFont="1" applyFill="1" applyBorder="1" applyAlignment="1">
      <alignment vertical="center" wrapText="1"/>
      <protection/>
    </xf>
    <xf numFmtId="195" fontId="5" fillId="0" borderId="24" xfId="64" applyFont="1" applyFill="1" applyBorder="1" applyAlignment="1">
      <alignment vertical="center" wrapText="1"/>
      <protection/>
    </xf>
    <xf numFmtId="195" fontId="5" fillId="0" borderId="25" xfId="64" applyFont="1" applyFill="1" applyBorder="1" applyAlignment="1">
      <alignment vertical="center" wrapText="1"/>
      <protection/>
    </xf>
    <xf numFmtId="195" fontId="5" fillId="0" borderId="26" xfId="64" applyFont="1" applyFill="1" applyBorder="1" applyAlignment="1">
      <alignment vertical="center" wrapText="1"/>
      <protection/>
    </xf>
    <xf numFmtId="195" fontId="5" fillId="0" borderId="27" xfId="64" applyFont="1" applyFill="1" applyBorder="1" applyAlignment="1">
      <alignment vertical="center" wrapText="1"/>
      <protection/>
    </xf>
    <xf numFmtId="195" fontId="5" fillId="0" borderId="11" xfId="64" applyFont="1" applyFill="1" applyBorder="1" applyAlignment="1">
      <alignment vertical="center" wrapText="1"/>
      <protection/>
    </xf>
    <xf numFmtId="195" fontId="5" fillId="0" borderId="28" xfId="64" applyFont="1" applyFill="1" applyBorder="1" applyAlignment="1">
      <alignment vertical="center" wrapText="1"/>
      <protection/>
    </xf>
    <xf numFmtId="196" fontId="5" fillId="35" borderId="14" xfId="64" applyNumberFormat="1" applyFont="1" applyFill="1" applyBorder="1" applyAlignment="1">
      <alignment vertical="center"/>
      <protection/>
    </xf>
    <xf numFmtId="196" fontId="5" fillId="35" borderId="13" xfId="64" applyNumberFormat="1" applyFont="1" applyFill="1" applyBorder="1" applyAlignment="1">
      <alignment vertical="center"/>
      <protection/>
    </xf>
    <xf numFmtId="196" fontId="5" fillId="35" borderId="15" xfId="64" applyNumberFormat="1" applyFont="1" applyFill="1" applyBorder="1" applyAlignment="1">
      <alignment vertical="center"/>
      <protection/>
    </xf>
    <xf numFmtId="197" fontId="5" fillId="35" borderId="14" xfId="64" applyNumberFormat="1" applyFont="1" applyFill="1" applyBorder="1" applyAlignment="1">
      <alignment vertical="center"/>
      <protection/>
    </xf>
    <xf numFmtId="197" fontId="5" fillId="35" borderId="13" xfId="64" applyNumberFormat="1" applyFont="1" applyFill="1" applyBorder="1" applyAlignment="1">
      <alignment vertical="center"/>
      <protection/>
    </xf>
    <xf numFmtId="197" fontId="5" fillId="35" borderId="15" xfId="64" applyNumberFormat="1" applyFont="1" applyFill="1" applyBorder="1" applyAlignment="1">
      <alignment vertical="center"/>
      <protection/>
    </xf>
    <xf numFmtId="195" fontId="5" fillId="0" borderId="14" xfId="64" applyFont="1" applyFill="1" applyBorder="1" applyAlignment="1">
      <alignment horizontal="center" vertical="center"/>
      <protection/>
    </xf>
    <xf numFmtId="195" fontId="5" fillId="0" borderId="13" xfId="64" applyFont="1" applyFill="1" applyBorder="1" applyAlignment="1">
      <alignment horizontal="center" vertical="center"/>
      <protection/>
    </xf>
    <xf numFmtId="195" fontId="5" fillId="0" borderId="15" xfId="64" applyFont="1" applyFill="1" applyBorder="1" applyAlignment="1">
      <alignment horizontal="center" vertical="center"/>
      <protection/>
    </xf>
    <xf numFmtId="196" fontId="5" fillId="0" borderId="10" xfId="64" applyNumberFormat="1" applyFont="1" applyFill="1" applyBorder="1" applyAlignment="1">
      <alignment vertical="center"/>
      <protection/>
    </xf>
    <xf numFmtId="195" fontId="2" fillId="0" borderId="10" xfId="64" applyFont="1" applyFill="1" applyBorder="1" applyAlignment="1">
      <alignment horizontal="center" vertical="center" wrapText="1"/>
      <protection/>
    </xf>
    <xf numFmtId="195" fontId="2" fillId="0" borderId="10" xfId="64" applyFont="1" applyFill="1" applyBorder="1" applyAlignment="1">
      <alignment horizontal="center" vertical="center"/>
      <protection/>
    </xf>
    <xf numFmtId="197" fontId="5" fillId="0" borderId="11" xfId="64" applyNumberFormat="1" applyFont="1" applyFill="1" applyBorder="1" applyAlignment="1">
      <alignment horizontal="center" vertical="center"/>
      <protection/>
    </xf>
    <xf numFmtId="196" fontId="5" fillId="0" borderId="12" xfId="64" applyNumberFormat="1" applyFont="1" applyFill="1" applyBorder="1" applyAlignment="1">
      <alignment horizontal="center" vertical="center"/>
      <protection/>
    </xf>
    <xf numFmtId="197" fontId="5" fillId="0" borderId="0" xfId="64" applyNumberFormat="1" applyFont="1" applyFill="1" applyBorder="1" applyAlignment="1">
      <alignment horizontal="center" vertical="center"/>
      <protection/>
    </xf>
    <xf numFmtId="193" fontId="5" fillId="0" borderId="0" xfId="64" applyNumberFormat="1" applyFont="1" applyFill="1" applyBorder="1" applyAlignment="1">
      <alignment horizontal="center" vertical="center"/>
      <protection/>
    </xf>
    <xf numFmtId="183" fontId="5" fillId="0" borderId="0" xfId="64" applyNumberFormat="1" applyFont="1" applyFill="1" applyBorder="1" applyAlignment="1">
      <alignment vertical="center"/>
      <protection/>
    </xf>
    <xf numFmtId="195" fontId="5" fillId="0" borderId="0" xfId="64" applyFont="1" applyFill="1" applyBorder="1" applyAlignment="1">
      <alignment horizontal="left" vertical="center" wrapText="1"/>
      <protection/>
    </xf>
    <xf numFmtId="195" fontId="5" fillId="0" borderId="0" xfId="64" applyFont="1" applyFill="1" applyBorder="1" applyAlignment="1">
      <alignment horizontal="center"/>
      <protection/>
    </xf>
    <xf numFmtId="195" fontId="5" fillId="0" borderId="0" xfId="64" applyFont="1" applyFill="1" applyBorder="1" applyAlignment="1">
      <alignment horizontal="center" vertical="top"/>
      <protection/>
    </xf>
    <xf numFmtId="197" fontId="5" fillId="0" borderId="0" xfId="64" applyNumberFormat="1" applyFont="1" applyFill="1" applyBorder="1">
      <alignment vertical="center"/>
      <protection/>
    </xf>
    <xf numFmtId="195" fontId="5" fillId="0" borderId="0" xfId="64" applyNumberFormat="1" applyFont="1" applyFill="1" applyBorder="1" applyAlignment="1">
      <alignment vertical="center"/>
      <protection/>
    </xf>
    <xf numFmtId="193" fontId="5" fillId="0" borderId="12" xfId="64" applyNumberFormat="1" applyFont="1" applyFill="1" applyBorder="1" applyAlignment="1">
      <alignment horizontal="center" vertical="center"/>
      <protection/>
    </xf>
    <xf numFmtId="195" fontId="5" fillId="0" borderId="12" xfId="64" applyNumberFormat="1" applyFont="1" applyFill="1" applyBorder="1" applyAlignment="1">
      <alignment horizontal="center" vertical="center"/>
      <protection/>
    </xf>
    <xf numFmtId="195"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right" vertical="center"/>
      <protection/>
    </xf>
    <xf numFmtId="197" fontId="5" fillId="0" borderId="12" xfId="64" applyNumberFormat="1" applyFont="1" applyFill="1" applyBorder="1" applyAlignment="1">
      <alignment horizontal="center" vertical="center"/>
      <protection/>
    </xf>
    <xf numFmtId="195" fontId="5" fillId="0" borderId="0" xfId="64" applyFont="1" applyFill="1" applyBorder="1" applyAlignment="1">
      <alignment horizontal="right" vertical="center"/>
      <protection/>
    </xf>
    <xf numFmtId="193" fontId="2" fillId="0" borderId="0" xfId="64" applyNumberFormat="1" applyFont="1" applyFill="1" applyBorder="1" applyAlignment="1">
      <alignment vertical="center" wrapText="1"/>
      <protection/>
    </xf>
    <xf numFmtId="195" fontId="5" fillId="0" borderId="0" xfId="64" applyFont="1" applyFill="1" applyBorder="1" applyAlignment="1">
      <alignment horizontal="left" vertical="center"/>
      <protection/>
    </xf>
    <xf numFmtId="199" fontId="5" fillId="0" borderId="0" xfId="64" applyNumberFormat="1" applyFont="1" applyFill="1" applyBorder="1" applyAlignment="1" quotePrefix="1">
      <alignment horizontal="right" vertical="center"/>
      <protection/>
    </xf>
    <xf numFmtId="197" fontId="5" fillId="3" borderId="0" xfId="64" applyNumberFormat="1" applyFont="1" applyFill="1" applyBorder="1" applyAlignment="1">
      <alignment horizontal="center" vertical="center"/>
      <protection/>
    </xf>
    <xf numFmtId="197" fontId="5" fillId="0" borderId="11" xfId="64" applyNumberFormat="1" applyFont="1" applyFill="1" applyBorder="1" applyAlignment="1">
      <alignment vertical="center"/>
      <protection/>
    </xf>
    <xf numFmtId="200" fontId="5" fillId="0" borderId="0" xfId="64" applyNumberFormat="1" applyFont="1" applyFill="1" applyBorder="1" applyAlignment="1">
      <alignment vertical="center"/>
      <protection/>
    </xf>
    <xf numFmtId="197" fontId="5" fillId="3" borderId="0" xfId="64" applyNumberFormat="1" applyFont="1" applyFill="1" applyBorder="1" applyAlignment="1">
      <alignment vertical="center"/>
      <protection/>
    </xf>
    <xf numFmtId="200" fontId="5" fillId="0" borderId="0" xfId="64" applyNumberFormat="1" applyFont="1" applyFill="1" applyBorder="1" applyAlignment="1">
      <alignment horizontal="center" vertical="center"/>
      <protection/>
    </xf>
    <xf numFmtId="196" fontId="5" fillId="0" borderId="0" xfId="64" applyNumberFormat="1" applyFont="1" applyFill="1" applyBorder="1" applyAlignment="1">
      <alignment horizontal="center" vertical="center"/>
      <protection/>
    </xf>
    <xf numFmtId="195" fontId="5" fillId="0" borderId="0" xfId="64" applyNumberFormat="1" applyFont="1" applyFill="1" applyBorder="1">
      <alignment vertical="center"/>
      <protection/>
    </xf>
    <xf numFmtId="195" fontId="10" fillId="0" borderId="0" xfId="64" applyFont="1" applyFill="1" applyBorder="1" applyAlignment="1" quotePrefix="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数字" xfId="57"/>
    <cellStyle name="折返し"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dxfs count="36">
    <dxf>
      <font>
        <color rgb="FFFF000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FF0000"/>
      </font>
      <border/>
    </dxf>
    <dxf>
      <font>
        <color rgb="FF0000FF"/>
      </font>
      <border/>
    </dxf>
    <dxf>
      <font>
        <color rgb="FFFF0000"/>
      </font>
      <fill>
        <patternFill>
          <bgColor rgb="FFFFFFCC"/>
        </patternFill>
      </fill>
      <border/>
    </dxf>
    <dxf>
      <font>
        <color rgb="FF0000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79</xdr:row>
      <xdr:rowOff>85725</xdr:rowOff>
    </xdr:from>
    <xdr:to>
      <xdr:col>32</xdr:col>
      <xdr:colOff>180975</xdr:colOff>
      <xdr:row>92</xdr:row>
      <xdr:rowOff>142875</xdr:rowOff>
    </xdr:to>
    <xdr:pic>
      <xdr:nvPicPr>
        <xdr:cNvPr id="1" name="図 11"/>
        <xdr:cNvPicPr preferRelativeResize="1">
          <a:picLocks noChangeAspect="1"/>
        </xdr:cNvPicPr>
      </xdr:nvPicPr>
      <xdr:blipFill>
        <a:blip r:embed="rId1"/>
        <a:stretch>
          <a:fillRect/>
        </a:stretch>
      </xdr:blipFill>
      <xdr:spPr>
        <a:xfrm>
          <a:off x="19050" y="15887700"/>
          <a:ext cx="6581775" cy="2657475"/>
        </a:xfrm>
        <a:prstGeom prst="rect">
          <a:avLst/>
        </a:prstGeom>
        <a:noFill/>
        <a:ln w="9525" cmpd="sng">
          <a:noFill/>
        </a:ln>
      </xdr:spPr>
    </xdr:pic>
    <xdr:clientData/>
  </xdr:twoCellAnchor>
  <xdr:twoCellAnchor>
    <xdr:from>
      <xdr:col>5</xdr:col>
      <xdr:colOff>123825</xdr:colOff>
      <xdr:row>482</xdr:row>
      <xdr:rowOff>0</xdr:rowOff>
    </xdr:from>
    <xdr:to>
      <xdr:col>10</xdr:col>
      <xdr:colOff>0</xdr:colOff>
      <xdr:row>484</xdr:row>
      <xdr:rowOff>9525</xdr:rowOff>
    </xdr:to>
    <xdr:sp>
      <xdr:nvSpPr>
        <xdr:cNvPr id="2" name="フリーフォーム 3"/>
        <xdr:cNvSpPr>
          <a:spLocks/>
        </xdr:cNvSpPr>
      </xdr:nvSpPr>
      <xdr:spPr>
        <a:xfrm>
          <a:off x="1123950" y="9756457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482</xdr:row>
      <xdr:rowOff>0</xdr:rowOff>
    </xdr:from>
    <xdr:to>
      <xdr:col>16</xdr:col>
      <xdr:colOff>0</xdr:colOff>
      <xdr:row>484</xdr:row>
      <xdr:rowOff>9525</xdr:rowOff>
    </xdr:to>
    <xdr:sp>
      <xdr:nvSpPr>
        <xdr:cNvPr id="3" name="フリーフォーム 4"/>
        <xdr:cNvSpPr>
          <a:spLocks/>
        </xdr:cNvSpPr>
      </xdr:nvSpPr>
      <xdr:spPr>
        <a:xfrm>
          <a:off x="2324100" y="9756457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497</xdr:row>
      <xdr:rowOff>0</xdr:rowOff>
    </xdr:from>
    <xdr:to>
      <xdr:col>10</xdr:col>
      <xdr:colOff>200025</xdr:colOff>
      <xdr:row>499</xdr:row>
      <xdr:rowOff>9525</xdr:rowOff>
    </xdr:to>
    <xdr:sp>
      <xdr:nvSpPr>
        <xdr:cNvPr id="4" name="フリーフォーム 2"/>
        <xdr:cNvSpPr>
          <a:spLocks/>
        </xdr:cNvSpPr>
      </xdr:nvSpPr>
      <xdr:spPr>
        <a:xfrm>
          <a:off x="1123950" y="100564950"/>
          <a:ext cx="1076325"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499</xdr:row>
      <xdr:rowOff>0</xdr:rowOff>
    </xdr:from>
    <xdr:to>
      <xdr:col>18</xdr:col>
      <xdr:colOff>0</xdr:colOff>
      <xdr:row>501</xdr:row>
      <xdr:rowOff>9525</xdr:rowOff>
    </xdr:to>
    <xdr:sp>
      <xdr:nvSpPr>
        <xdr:cNvPr id="5" name="フリーフォーム 2"/>
        <xdr:cNvSpPr>
          <a:spLocks/>
        </xdr:cNvSpPr>
      </xdr:nvSpPr>
      <xdr:spPr>
        <a:xfrm>
          <a:off x="1123950" y="100965000"/>
          <a:ext cx="2476500" cy="409575"/>
        </a:xfrm>
        <a:custGeom>
          <a:pathLst>
            <a:path h="402167" w="2435595">
              <a:moveTo>
                <a:pt x="0" y="276068"/>
              </a:moveTo>
              <a:lnTo>
                <a:pt x="76332" y="402167"/>
              </a:lnTo>
              <a:lnTo>
                <a:pt x="270384" y="0"/>
              </a:lnTo>
              <a:lnTo>
                <a:pt x="2435595"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120</xdr:row>
      <xdr:rowOff>171450</xdr:rowOff>
    </xdr:from>
    <xdr:to>
      <xdr:col>26</xdr:col>
      <xdr:colOff>57150</xdr:colOff>
      <xdr:row>135</xdr:row>
      <xdr:rowOff>0</xdr:rowOff>
    </xdr:to>
    <xdr:pic>
      <xdr:nvPicPr>
        <xdr:cNvPr id="6" name="図 11"/>
        <xdr:cNvPicPr preferRelativeResize="1">
          <a:picLocks noChangeAspect="1"/>
        </xdr:cNvPicPr>
      </xdr:nvPicPr>
      <xdr:blipFill>
        <a:blip r:embed="rId2"/>
        <a:stretch>
          <a:fillRect/>
        </a:stretch>
      </xdr:blipFill>
      <xdr:spPr>
        <a:xfrm>
          <a:off x="561975" y="24174450"/>
          <a:ext cx="4695825" cy="2828925"/>
        </a:xfrm>
        <a:prstGeom prst="rect">
          <a:avLst/>
        </a:prstGeom>
        <a:noFill/>
        <a:ln w="9525" cmpd="sng">
          <a:noFill/>
        </a:ln>
      </xdr:spPr>
    </xdr:pic>
    <xdr:clientData/>
  </xdr:twoCellAnchor>
  <xdr:twoCellAnchor editAs="oneCell">
    <xdr:from>
      <xdr:col>34</xdr:col>
      <xdr:colOff>190500</xdr:colOff>
      <xdr:row>22</xdr:row>
      <xdr:rowOff>104775</xdr:rowOff>
    </xdr:from>
    <xdr:to>
      <xdr:col>39</xdr:col>
      <xdr:colOff>371475</xdr:colOff>
      <xdr:row>31</xdr:row>
      <xdr:rowOff>28575</xdr:rowOff>
    </xdr:to>
    <xdr:pic>
      <xdr:nvPicPr>
        <xdr:cNvPr id="7" name="図 1"/>
        <xdr:cNvPicPr preferRelativeResize="1">
          <a:picLocks noChangeAspect="1"/>
        </xdr:cNvPicPr>
      </xdr:nvPicPr>
      <xdr:blipFill>
        <a:blip r:embed="rId3"/>
        <a:stretch>
          <a:fillRect/>
        </a:stretch>
      </xdr:blipFill>
      <xdr:spPr>
        <a:xfrm>
          <a:off x="7010400" y="4505325"/>
          <a:ext cx="3724275" cy="1724025"/>
        </a:xfrm>
        <a:prstGeom prst="rect">
          <a:avLst/>
        </a:prstGeom>
        <a:noFill/>
        <a:ln w="9525" cmpd="sng">
          <a:noFill/>
        </a:ln>
      </xdr:spPr>
    </xdr:pic>
    <xdr:clientData/>
  </xdr:twoCellAnchor>
  <xdr:twoCellAnchor>
    <xdr:from>
      <xdr:col>36</xdr:col>
      <xdr:colOff>57150</xdr:colOff>
      <xdr:row>31</xdr:row>
      <xdr:rowOff>123825</xdr:rowOff>
    </xdr:from>
    <xdr:to>
      <xdr:col>37</xdr:col>
      <xdr:colOff>171450</xdr:colOff>
      <xdr:row>33</xdr:row>
      <xdr:rowOff>66675</xdr:rowOff>
    </xdr:to>
    <xdr:sp>
      <xdr:nvSpPr>
        <xdr:cNvPr id="8" name="下矢印 2"/>
        <xdr:cNvSpPr>
          <a:spLocks/>
        </xdr:cNvSpPr>
      </xdr:nvSpPr>
      <xdr:spPr>
        <a:xfrm>
          <a:off x="8448675" y="6324600"/>
          <a:ext cx="77152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38"/>
  <sheetViews>
    <sheetView view="pageBreakPreview" zoomScale="70" zoomScaleNormal="70" zoomScaleSheetLayoutView="70" zoomScalePageLayoutView="0" workbookViewId="0" topLeftCell="A1">
      <selection activeCell="A6" sqref="A6"/>
    </sheetView>
  </sheetViews>
  <sheetFormatPr defaultColWidth="9.00390625" defaultRowHeight="13.5"/>
  <cols>
    <col min="1" max="1" width="18.75390625" style="1" customWidth="1"/>
    <col min="2" max="2" width="3.75390625" style="1" customWidth="1"/>
    <col min="3" max="3" width="10.75390625" style="1" customWidth="1"/>
    <col min="4" max="8" width="8.625" style="1" customWidth="1"/>
    <col min="9" max="13" width="6.625" style="1" customWidth="1"/>
    <col min="14" max="14" width="2.75390625" style="1" customWidth="1"/>
    <col min="15" max="15" width="6.625" style="1" customWidth="1"/>
    <col min="16" max="16" width="5.50390625" style="1" customWidth="1"/>
    <col min="17" max="17" width="6.625" style="1" customWidth="1"/>
    <col min="18" max="18" width="2.75390625" style="1" customWidth="1"/>
    <col min="19" max="19" width="6.625" style="1" customWidth="1"/>
    <col min="20" max="20" width="5.50390625" style="1" customWidth="1"/>
    <col min="21" max="21" width="6.625" style="1" customWidth="1"/>
    <col min="22" max="22" width="2.75390625" style="1" customWidth="1"/>
    <col min="23" max="23" width="6.625" style="1" customWidth="1"/>
    <col min="24" max="24" width="5.50390625" style="1" customWidth="1"/>
    <col min="25" max="25" width="6.625" style="1" customWidth="1"/>
    <col min="26" max="26" width="2.75390625" style="1" customWidth="1"/>
    <col min="27" max="27" width="6.625" style="1" customWidth="1"/>
    <col min="28" max="28" width="5.50390625" style="1" customWidth="1"/>
    <col min="29" max="29" width="6.625" style="1" customWidth="1"/>
    <col min="30" max="30" width="2.75390625" style="1" customWidth="1"/>
    <col min="31" max="31" width="6.625" style="1" customWidth="1"/>
    <col min="32" max="32" width="5.50390625" style="1" customWidth="1"/>
    <col min="33" max="33" width="6.625" style="1" customWidth="1"/>
    <col min="34" max="34" width="2.75390625" style="1" customWidth="1"/>
    <col min="35" max="35" width="6.625" style="1" customWidth="1"/>
    <col min="36" max="36" width="5.50390625" style="1" customWidth="1"/>
    <col min="37" max="37" width="6.625" style="1" customWidth="1"/>
    <col min="38" max="38" width="2.75390625" style="1" customWidth="1"/>
    <col min="39" max="39" width="6.625" style="1" customWidth="1"/>
    <col min="40" max="41" width="5.50390625" style="1" customWidth="1"/>
    <col min="42" max="16384" width="9.00390625" style="1" customWidth="1"/>
  </cols>
  <sheetData>
    <row r="1" spans="2:41" ht="19.5" customHeight="1">
      <c r="B1" s="110" t="s">
        <v>480</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row>
    <row r="2" spans="2:41" s="58" customFormat="1" ht="18.75" customHeight="1">
      <c r="B2" s="111" t="s">
        <v>461</v>
      </c>
      <c r="C2" s="96" t="s">
        <v>452</v>
      </c>
      <c r="D2" s="97"/>
      <c r="E2" s="97"/>
      <c r="F2" s="98"/>
      <c r="G2" s="96" t="s">
        <v>444</v>
      </c>
      <c r="H2" s="98"/>
      <c r="I2" s="96" t="s">
        <v>445</v>
      </c>
      <c r="J2" s="97"/>
      <c r="K2" s="97"/>
      <c r="L2" s="98"/>
      <c r="M2" s="104" t="s">
        <v>4</v>
      </c>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3"/>
      <c r="AO2" s="105" t="s">
        <v>5</v>
      </c>
    </row>
    <row r="3" spans="2:41" s="58" customFormat="1" ht="18.75" customHeight="1">
      <c r="B3" s="112"/>
      <c r="C3" s="99" t="s">
        <v>453</v>
      </c>
      <c r="D3" s="99" t="s">
        <v>458</v>
      </c>
      <c r="E3" s="99" t="s">
        <v>443</v>
      </c>
      <c r="F3" s="99" t="s">
        <v>442</v>
      </c>
      <c r="G3" s="99" t="s">
        <v>459</v>
      </c>
      <c r="H3" s="99" t="s">
        <v>441</v>
      </c>
      <c r="I3" s="106" t="s">
        <v>447</v>
      </c>
      <c r="J3" s="106" t="s">
        <v>448</v>
      </c>
      <c r="K3" s="106" t="s">
        <v>449</v>
      </c>
      <c r="L3" s="106" t="s">
        <v>460</v>
      </c>
      <c r="M3" s="107" t="s">
        <v>6</v>
      </c>
      <c r="N3" s="108"/>
      <c r="O3" s="108"/>
      <c r="P3" s="108"/>
      <c r="Q3" s="108"/>
      <c r="R3" s="108"/>
      <c r="S3" s="108"/>
      <c r="T3" s="108"/>
      <c r="U3" s="108"/>
      <c r="V3" s="108"/>
      <c r="W3" s="108"/>
      <c r="X3" s="109"/>
      <c r="Y3" s="107" t="s">
        <v>7</v>
      </c>
      <c r="Z3" s="108"/>
      <c r="AA3" s="108"/>
      <c r="AB3" s="108"/>
      <c r="AC3" s="108"/>
      <c r="AD3" s="108"/>
      <c r="AE3" s="108"/>
      <c r="AF3" s="108"/>
      <c r="AG3" s="108"/>
      <c r="AH3" s="108"/>
      <c r="AI3" s="108"/>
      <c r="AJ3" s="108"/>
      <c r="AK3" s="108"/>
      <c r="AL3" s="108"/>
      <c r="AM3" s="108"/>
      <c r="AN3" s="109"/>
      <c r="AO3" s="105"/>
    </row>
    <row r="4" spans="2:41" s="58" customFormat="1" ht="18.75" customHeight="1">
      <c r="B4" s="112"/>
      <c r="C4" s="100"/>
      <c r="D4" s="100"/>
      <c r="E4" s="100"/>
      <c r="F4" s="100"/>
      <c r="G4" s="100"/>
      <c r="H4" s="100"/>
      <c r="I4" s="105"/>
      <c r="J4" s="105"/>
      <c r="K4" s="105"/>
      <c r="L4" s="105"/>
      <c r="M4" s="96" t="s">
        <v>450</v>
      </c>
      <c r="N4" s="102"/>
      <c r="O4" s="102"/>
      <c r="P4" s="103"/>
      <c r="Q4" s="96" t="s">
        <v>451</v>
      </c>
      <c r="R4" s="102"/>
      <c r="S4" s="102"/>
      <c r="T4" s="103"/>
      <c r="U4" s="104" t="s">
        <v>9</v>
      </c>
      <c r="V4" s="102"/>
      <c r="W4" s="102"/>
      <c r="X4" s="103"/>
      <c r="Y4" s="96" t="s">
        <v>454</v>
      </c>
      <c r="Z4" s="102"/>
      <c r="AA4" s="102"/>
      <c r="AB4" s="103"/>
      <c r="AC4" s="96" t="s">
        <v>455</v>
      </c>
      <c r="AD4" s="102"/>
      <c r="AE4" s="102"/>
      <c r="AF4" s="103"/>
      <c r="AG4" s="96" t="s">
        <v>456</v>
      </c>
      <c r="AH4" s="102"/>
      <c r="AI4" s="102"/>
      <c r="AJ4" s="103"/>
      <c r="AK4" s="96" t="s">
        <v>457</v>
      </c>
      <c r="AL4" s="102"/>
      <c r="AM4" s="102"/>
      <c r="AN4" s="103"/>
      <c r="AO4" s="105"/>
    </row>
    <row r="5" spans="1:41" s="58" customFormat="1" ht="18.75" customHeight="1">
      <c r="A5" s="67" t="s">
        <v>479</v>
      </c>
      <c r="B5" s="113"/>
      <c r="C5" s="101"/>
      <c r="D5" s="101"/>
      <c r="E5" s="101"/>
      <c r="F5" s="101"/>
      <c r="G5" s="101"/>
      <c r="H5" s="101"/>
      <c r="I5" s="105"/>
      <c r="J5" s="105"/>
      <c r="K5" s="105"/>
      <c r="L5" s="105"/>
      <c r="M5" s="55" t="s">
        <v>10</v>
      </c>
      <c r="N5" s="45"/>
      <c r="O5" s="56" t="s">
        <v>11</v>
      </c>
      <c r="P5" s="54" t="s">
        <v>0</v>
      </c>
      <c r="Q5" s="55" t="s">
        <v>10</v>
      </c>
      <c r="R5" s="45"/>
      <c r="S5" s="56" t="s">
        <v>11</v>
      </c>
      <c r="T5" s="54" t="s">
        <v>0</v>
      </c>
      <c r="U5" s="55" t="s">
        <v>10</v>
      </c>
      <c r="V5" s="45"/>
      <c r="W5" s="56" t="s">
        <v>11</v>
      </c>
      <c r="X5" s="54" t="s">
        <v>0</v>
      </c>
      <c r="Y5" s="55" t="s">
        <v>10</v>
      </c>
      <c r="Z5" s="45"/>
      <c r="AA5" s="56" t="s">
        <v>11</v>
      </c>
      <c r="AB5" s="54" t="s">
        <v>0</v>
      </c>
      <c r="AC5" s="55" t="s">
        <v>10</v>
      </c>
      <c r="AD5" s="45"/>
      <c r="AE5" s="56" t="s">
        <v>11</v>
      </c>
      <c r="AF5" s="54" t="s">
        <v>0</v>
      </c>
      <c r="AG5" s="55" t="s">
        <v>10</v>
      </c>
      <c r="AH5" s="45"/>
      <c r="AI5" s="56" t="s">
        <v>11</v>
      </c>
      <c r="AJ5" s="54" t="s">
        <v>0</v>
      </c>
      <c r="AK5" s="55" t="s">
        <v>10</v>
      </c>
      <c r="AL5" s="45"/>
      <c r="AM5" s="56" t="s">
        <v>11</v>
      </c>
      <c r="AN5" s="54" t="s">
        <v>0</v>
      </c>
      <c r="AO5" s="105"/>
    </row>
    <row r="6" spans="1:41" s="50" customFormat="1" ht="27" customHeight="1">
      <c r="A6" s="85" t="s">
        <v>478</v>
      </c>
      <c r="B6" s="57">
        <v>1</v>
      </c>
      <c r="C6" s="51" t="str">
        <f ca="1">INDIRECT($A6&amp;"!AJ45")</f>
        <v>砂質土ﾀｲﾌﾟ</v>
      </c>
      <c r="D6" s="53">
        <f ca="1">INDIRECT($A6&amp;"!AJ46")</f>
        <v>10</v>
      </c>
      <c r="E6" s="51">
        <f ca="1">INDIRECT($A6&amp;"!AJ47")</f>
        <v>1</v>
      </c>
      <c r="F6" s="51">
        <f ca="1">INDIRECT($A6&amp;"!AJ49")</f>
        <v>0.85</v>
      </c>
      <c r="G6" s="52">
        <f ca="1">INDIRECT($A6&amp;"!AJ50")</f>
        <v>20</v>
      </c>
      <c r="H6" s="51">
        <f ca="1">INDIRECT($A6&amp;"!AJ51")</f>
        <v>0</v>
      </c>
      <c r="I6" s="59">
        <f ca="1">INDIRECT($A6&amp;"!AJ52")</f>
        <v>140</v>
      </c>
      <c r="J6" s="60">
        <f ca="1">INDIRECT($A6&amp;"!AJ53")</f>
        <v>2.9</v>
      </c>
      <c r="K6" s="59">
        <f ca="1">INDIRECT($A6&amp;"!AJ54")</f>
        <v>3</v>
      </c>
      <c r="L6" s="59" t="str">
        <f ca="1">INDIRECT($A6&amp;"!AJ55")</f>
        <v>ok</v>
      </c>
      <c r="M6" s="61">
        <f ca="1">INDIRECT($A6&amp;"!R103")</f>
        <v>6.82</v>
      </c>
      <c r="N6" s="48" t="str">
        <f>IF(M6&lt;=O6,"≦","&gt;")</f>
        <v>≦</v>
      </c>
      <c r="O6" s="49">
        <f ca="1">INDIRECT($A6&amp;"!X103")</f>
        <v>8.36</v>
      </c>
      <c r="P6" s="46" t="str">
        <f>IF(M6&lt;=O6,"OK","NG")</f>
        <v>OK</v>
      </c>
      <c r="Q6" s="47">
        <f ca="1">INDIRECT($A6&amp;"!R104")</f>
        <v>6.37</v>
      </c>
      <c r="R6" s="48" t="str">
        <f>IF(Q6&lt;=S6,"≦","&gt;")</f>
        <v>≦</v>
      </c>
      <c r="S6" s="49">
        <f ca="1">INDIRECT($A6&amp;"!X104")</f>
        <v>8.36</v>
      </c>
      <c r="T6" s="46" t="str">
        <f>IF(Q6&lt;=S6,"OK","NG")</f>
        <v>OK</v>
      </c>
      <c r="U6" s="47">
        <f ca="1">INDIRECT($A6&amp;"!R105")</f>
        <v>6.27</v>
      </c>
      <c r="V6" s="48" t="str">
        <f>IF(U6&lt;=W6,"≦","&gt;")</f>
        <v>≦</v>
      </c>
      <c r="W6" s="49">
        <f ca="1">INDIRECT($A6&amp;"!X105")</f>
        <v>10.45</v>
      </c>
      <c r="X6" s="46" t="str">
        <f>IF(U6&lt;=W6,"OK","NG")</f>
        <v>OK</v>
      </c>
      <c r="Y6" s="47">
        <f ca="1">MAX(INDIRECT($A6&amp;"!Q115"),INDIRECT($A6&amp;"!U115"))</f>
        <v>0.44</v>
      </c>
      <c r="Z6" s="48" t="str">
        <f>IF(Y6&lt;=AA6,"≦","&gt;")</f>
        <v>≦</v>
      </c>
      <c r="AA6" s="49">
        <f ca="1">INDIRECT($A6&amp;"!Y115")</f>
        <v>4.5</v>
      </c>
      <c r="AB6" s="46" t="str">
        <f>IF(Y6&lt;=AA6,"OK","NG")</f>
        <v>OK</v>
      </c>
      <c r="AC6" s="47">
        <f ca="1">MAX(INDIRECT($A6&amp;"!Q116"),INDIRECT($A6&amp;"!U116"))</f>
        <v>0</v>
      </c>
      <c r="AD6" s="48" t="str">
        <f>IF(AC6&lt;=AE6,"≦","&gt;")</f>
        <v>≦</v>
      </c>
      <c r="AE6" s="49">
        <f ca="1">INDIRECT($A6&amp;"!Y116")</f>
        <v>4.5</v>
      </c>
      <c r="AF6" s="46" t="str">
        <f>IF(AC6&lt;=AE6,"OK","NG")</f>
        <v>OK</v>
      </c>
      <c r="AG6" s="47">
        <f ca="1">MAX(INDIRECT($A6&amp;"!Q117"),INDIRECT($A6&amp;"!U117"))</f>
        <v>0.41</v>
      </c>
      <c r="AH6" s="48" t="str">
        <f>IF(AG6&lt;=AI6,"≦","&gt;")</f>
        <v>≦</v>
      </c>
      <c r="AI6" s="49">
        <f ca="1">INDIRECT($A6&amp;"!Y117")</f>
        <v>4.5</v>
      </c>
      <c r="AJ6" s="46" t="str">
        <f>IF(AG6&lt;=AI6,"OK","NG")</f>
        <v>OK</v>
      </c>
      <c r="AK6" s="47">
        <f ca="1">MAX(INDIRECT($A6&amp;"!Q118"),INDIRECT($A6&amp;"!U118"))</f>
        <v>0</v>
      </c>
      <c r="AL6" s="48" t="str">
        <f>IF(AK6&lt;=AM6,"≦","&gt;")</f>
        <v>≦</v>
      </c>
      <c r="AM6" s="49">
        <f ca="1">INDIRECT($A6&amp;"!Y118")</f>
        <v>4.5</v>
      </c>
      <c r="AN6" s="46" t="str">
        <f>IF(AK6&lt;=AM6,"OK","NG")</f>
        <v>OK</v>
      </c>
      <c r="AO6" s="46" t="str">
        <f>IF(AND(L6="ok",P6="OK",T6="OK",X6="OK",AB6="OK",AF6="OK",AJ6="OK",AN6="OK"),"OK","NG")</f>
        <v>OK</v>
      </c>
    </row>
    <row r="7" spans="1:41" s="50" customFormat="1" ht="27" customHeight="1">
      <c r="A7" s="85"/>
      <c r="B7" s="57">
        <f>IF(A7="","",B6+1)</f>
      </c>
      <c r="C7" s="51">
        <f ca="1">IF(A7="","",INDIRECT($A7&amp;"!AJ45"))</f>
      </c>
      <c r="D7" s="53">
        <f ca="1">IF(A7="","",INDIRECT($A7&amp;"!AJ46"))</f>
      </c>
      <c r="E7" s="51">
        <f ca="1">IF(A7="","",INDIRECT($A7&amp;"!AJ47"))</f>
      </c>
      <c r="F7" s="51">
        <f ca="1">IF(A7="","",INDIRECT($A7&amp;"!AJ49"))</f>
      </c>
      <c r="G7" s="52">
        <f ca="1">IF(A7="","",INDIRECT($A7&amp;"!AJ50"))</f>
      </c>
      <c r="H7" s="51">
        <f ca="1">IF(A7="","",INDIRECT($A7&amp;"!AJ51"))</f>
      </c>
      <c r="I7" s="59">
        <f ca="1">IF(A7="","",INDIRECT($A7&amp;"!AJ52"))</f>
      </c>
      <c r="J7" s="60">
        <f ca="1">IF(A7="","",INDIRECT($A7&amp;"!AJ53"))</f>
      </c>
      <c r="K7" s="59">
        <f ca="1">IF(A7="","",INDIRECT($A7&amp;"!AJ54"))</f>
      </c>
      <c r="L7" s="59">
        <f ca="1">IF(A7="","",INDIRECT($A7&amp;"!AJ55"))</f>
      </c>
      <c r="M7" s="61">
        <f ca="1">IF(A7="","",INDIRECT($A7&amp;"!R103"))</f>
      </c>
      <c r="N7" s="48">
        <f>IF(A7="","",IF(M7&lt;=O7,"≦","&gt;"))</f>
      </c>
      <c r="O7" s="49">
        <f ca="1">IF(A7="","",INDIRECT($A7&amp;"!X103"))</f>
      </c>
      <c r="P7" s="46">
        <f>IF(A7="","",IF(M7&lt;=O7,"OK","NG"))</f>
      </c>
      <c r="Q7" s="47">
        <f ca="1">IF(A7="","",INDIRECT($A7&amp;"!R104"))</f>
      </c>
      <c r="R7" s="48">
        <f>IF(A7="","",IF(Q7&lt;=S7,"≦","&gt;"))</f>
      </c>
      <c r="S7" s="49">
        <f ca="1">IF(A7="","",INDIRECT($A7&amp;"!X104"))</f>
      </c>
      <c r="T7" s="46">
        <f>IF(A7="","",IF(Q7&lt;=S7,"OK","NG"))</f>
      </c>
      <c r="U7" s="47">
        <f ca="1">IF(A7="","",INDIRECT($A7&amp;"!R105"))</f>
      </c>
      <c r="V7" s="48">
        <f>IF(A7="","",IF(U7&lt;=W7,"≦","&gt;"))</f>
      </c>
      <c r="W7" s="49">
        <f ca="1">IF(A7="","",INDIRECT($A7&amp;"!X105"))</f>
      </c>
      <c r="X7" s="46">
        <f>IF(A7="","",IF(U7&lt;=W7,"OK","NG"))</f>
      </c>
      <c r="Y7" s="47">
        <f ca="1">IF(A7="","",MAX(INDIRECT($A7&amp;"!Q115"),INDIRECT($A7&amp;"!U115")))</f>
      </c>
      <c r="Z7" s="48">
        <f>IF(A7="","",IF(Y7&lt;=AA7,"≦","&gt;"))</f>
      </c>
      <c r="AA7" s="49">
        <f ca="1">IF(A7="","",INDIRECT($A7&amp;"!Y115"))</f>
      </c>
      <c r="AB7" s="46">
        <f>IF(A7="","",IF(Y7&lt;=AA7,"OK","NG"))</f>
      </c>
      <c r="AC7" s="47">
        <f ca="1">IF(A7="","",MAX(INDIRECT($A7&amp;"!Q116"),INDIRECT($A7&amp;"!U116")))</f>
      </c>
      <c r="AD7" s="48">
        <f>IF(A7="","",IF(AC7&lt;=AE7,"≦","&gt;"))</f>
      </c>
      <c r="AE7" s="49">
        <f ca="1">IF(A7="","",INDIRECT($A7&amp;"!Y116"))</f>
      </c>
      <c r="AF7" s="46">
        <f>IF(A7="","",IF(AC7&lt;=AE7,"OK","NG"))</f>
      </c>
      <c r="AG7" s="47">
        <f ca="1">IF(A7="","",MAX(INDIRECT($A7&amp;"!Q117"),INDIRECT($A7&amp;"!U117")))</f>
      </c>
      <c r="AH7" s="48">
        <f>IF(A7="","",IF(AG7&lt;=AI7,"≦","&gt;"))</f>
      </c>
      <c r="AI7" s="49">
        <f ca="1">IF(A7="","",INDIRECT($A7&amp;"!Y117"))</f>
      </c>
      <c r="AJ7" s="46">
        <f>IF(A7="","",IF(AG7&lt;=AI7,"OK","NG"))</f>
      </c>
      <c r="AK7" s="47">
        <f ca="1">IF(A7="","",MAX(INDIRECT($A7&amp;"!Q118"),INDIRECT($A7&amp;"!U118")))</f>
      </c>
      <c r="AL7" s="48">
        <f>IF(A7="","",IF(AK7&lt;=AM7,"≦","&gt;"))</f>
      </c>
      <c r="AM7" s="49">
        <f ca="1">IF(A7="","",INDIRECT($A7&amp;"!Y118"))</f>
      </c>
      <c r="AN7" s="46">
        <f>IF(A7="","",IF(AK7&lt;=AM7,"OK","NG"))</f>
      </c>
      <c r="AO7" s="46">
        <f>IF(A7="","",IF(AND(L7="ok",P7="OK",T7="OK",X7="OK",AB7="OK",AF7="OK",AJ7="OK",AN7="OK"),"OK","NG"))</f>
      </c>
    </row>
    <row r="8" spans="1:41" s="50" customFormat="1" ht="27" customHeight="1">
      <c r="A8" s="85"/>
      <c r="B8" s="57">
        <f aca="true" t="shared" si="0" ref="B8:B38">IF(A8="","",B7+1)</f>
      </c>
      <c r="C8" s="51">
        <f aca="true" ca="1" t="shared" si="1" ref="C8:C38">IF(A8="","",INDIRECT($A8&amp;"!AJ45"))</f>
      </c>
      <c r="D8" s="53">
        <f aca="true" ca="1" t="shared" si="2" ref="D8:D38">IF(A8="","",INDIRECT($A8&amp;"!AJ46"))</f>
      </c>
      <c r="E8" s="51">
        <f aca="true" ca="1" t="shared" si="3" ref="E8:E38">IF(A8="","",INDIRECT($A8&amp;"!AJ47"))</f>
      </c>
      <c r="F8" s="51">
        <f aca="true" ca="1" t="shared" si="4" ref="F8:F38">IF(A8="","",INDIRECT($A8&amp;"!AJ49"))</f>
      </c>
      <c r="G8" s="52">
        <f aca="true" ca="1" t="shared" si="5" ref="G8:G38">IF(A8="","",INDIRECT($A8&amp;"!AJ50"))</f>
      </c>
      <c r="H8" s="51">
        <f aca="true" ca="1" t="shared" si="6" ref="H8:H38">IF(A8="","",INDIRECT($A8&amp;"!AJ51"))</f>
      </c>
      <c r="I8" s="59">
        <f aca="true" ca="1" t="shared" si="7" ref="I8:I38">IF(A8="","",INDIRECT($A8&amp;"!AJ52"))</f>
      </c>
      <c r="J8" s="60">
        <f aca="true" ca="1" t="shared" si="8" ref="J8:J38">IF(A8="","",INDIRECT($A8&amp;"!AJ53"))</f>
      </c>
      <c r="K8" s="59">
        <f aca="true" ca="1" t="shared" si="9" ref="K8:K38">IF(A8="","",INDIRECT($A8&amp;"!AJ54"))</f>
      </c>
      <c r="L8" s="59">
        <f aca="true" ca="1" t="shared" si="10" ref="L8:L38">IF(A8="","",INDIRECT($A8&amp;"!AJ55"))</f>
      </c>
      <c r="M8" s="61">
        <f aca="true" ca="1" t="shared" si="11" ref="M8:M38">IF(A8="","",INDIRECT($A8&amp;"!R103"))</f>
      </c>
      <c r="N8" s="48">
        <f aca="true" t="shared" si="12" ref="N8:N38">IF(A8="","",IF(M8&lt;=O8,"≦","&gt;"))</f>
      </c>
      <c r="O8" s="49">
        <f aca="true" ca="1" t="shared" si="13" ref="O8:O38">IF(A8="","",INDIRECT($A8&amp;"!X103"))</f>
      </c>
      <c r="P8" s="46">
        <f aca="true" t="shared" si="14" ref="P8:P38">IF(A8="","",IF(M8&lt;=O8,"OK","NG"))</f>
      </c>
      <c r="Q8" s="47">
        <f aca="true" ca="1" t="shared" si="15" ref="Q8:Q38">IF(A8="","",INDIRECT($A8&amp;"!R104"))</f>
      </c>
      <c r="R8" s="48">
        <f aca="true" t="shared" si="16" ref="R8:R38">IF(A8="","",IF(Q8&lt;=S8,"≦","&gt;"))</f>
      </c>
      <c r="S8" s="49">
        <f aca="true" ca="1" t="shared" si="17" ref="S8:S38">IF(A8="","",INDIRECT($A8&amp;"!X104"))</f>
      </c>
      <c r="T8" s="46">
        <f aca="true" t="shared" si="18" ref="T8:T38">IF(A8="","",IF(Q8&lt;=S8,"OK","NG"))</f>
      </c>
      <c r="U8" s="47">
        <f aca="true" ca="1" t="shared" si="19" ref="U8:U38">IF(A8="","",INDIRECT($A8&amp;"!R105"))</f>
      </c>
      <c r="V8" s="48">
        <f aca="true" t="shared" si="20" ref="V8:V38">IF(A8="","",IF(U8&lt;=W8,"≦","&gt;"))</f>
      </c>
      <c r="W8" s="49">
        <f aca="true" ca="1" t="shared" si="21" ref="W8:W38">IF(A8="","",INDIRECT($A8&amp;"!X105"))</f>
      </c>
      <c r="X8" s="46">
        <f aca="true" t="shared" si="22" ref="X8:X38">IF(A8="","",IF(U8&lt;=W8,"OK","NG"))</f>
      </c>
      <c r="Y8" s="47">
        <f aca="true" ca="1" t="shared" si="23" ref="Y8:Y38">IF(A8="","",MAX(INDIRECT($A8&amp;"!Q115"),INDIRECT($A8&amp;"!U115")))</f>
      </c>
      <c r="Z8" s="48">
        <f aca="true" t="shared" si="24" ref="Z8:Z38">IF(A8="","",IF(Y8&lt;=AA8,"≦","&gt;"))</f>
      </c>
      <c r="AA8" s="49">
        <f aca="true" ca="1" t="shared" si="25" ref="AA8:AA38">IF(A8="","",INDIRECT($A8&amp;"!Y115"))</f>
      </c>
      <c r="AB8" s="46">
        <f aca="true" t="shared" si="26" ref="AB8:AB38">IF(A8="","",IF(Y8&lt;=AA8,"OK","NG"))</f>
      </c>
      <c r="AC8" s="47">
        <f aca="true" ca="1" t="shared" si="27" ref="AC8:AC38">IF(A8="","",MAX(INDIRECT($A8&amp;"!Q116"),INDIRECT($A8&amp;"!U116")))</f>
      </c>
      <c r="AD8" s="48">
        <f aca="true" t="shared" si="28" ref="AD8:AD38">IF(A8="","",IF(AC8&lt;=AE8,"≦","&gt;"))</f>
      </c>
      <c r="AE8" s="49">
        <f aca="true" ca="1" t="shared" si="29" ref="AE8:AE38">IF(A8="","",INDIRECT($A8&amp;"!Y116"))</f>
      </c>
      <c r="AF8" s="46">
        <f aca="true" t="shared" si="30" ref="AF8:AF38">IF(A8="","",IF(AC8&lt;=AE8,"OK","NG"))</f>
      </c>
      <c r="AG8" s="47">
        <f aca="true" ca="1" t="shared" si="31" ref="AG8:AG38">IF(A8="","",MAX(INDIRECT($A8&amp;"!Q117"),INDIRECT($A8&amp;"!U117")))</f>
      </c>
      <c r="AH8" s="48">
        <f aca="true" t="shared" si="32" ref="AH8:AH38">IF(A8="","",IF(AG8&lt;=AI8,"≦","&gt;"))</f>
      </c>
      <c r="AI8" s="49">
        <f aca="true" ca="1" t="shared" si="33" ref="AI8:AI38">IF(A8="","",INDIRECT($A8&amp;"!Y117"))</f>
      </c>
      <c r="AJ8" s="46">
        <f aca="true" t="shared" si="34" ref="AJ8:AJ38">IF(A8="","",IF(AG8&lt;=AI8,"OK","NG"))</f>
      </c>
      <c r="AK8" s="47">
        <f aca="true" ca="1" t="shared" si="35" ref="AK8:AK38">IF(A8="","",MAX(INDIRECT($A8&amp;"!Q118"),INDIRECT($A8&amp;"!U118")))</f>
      </c>
      <c r="AL8" s="48">
        <f aca="true" t="shared" si="36" ref="AL8:AL38">IF(A8="","",IF(AK8&lt;=AM8,"≦","&gt;"))</f>
      </c>
      <c r="AM8" s="49">
        <f aca="true" ca="1" t="shared" si="37" ref="AM8:AM38">IF(A8="","",INDIRECT($A8&amp;"!Y118"))</f>
      </c>
      <c r="AN8" s="46">
        <f aca="true" t="shared" si="38" ref="AN8:AN38">IF(A8="","",IF(AK8&lt;=AM8,"OK","NG"))</f>
      </c>
      <c r="AO8" s="46">
        <f aca="true" t="shared" si="39" ref="AO8:AO38">IF(A8="","",IF(AND(L8="ok",P8="OK",T8="OK",X8="OK",AB8="OK",AF8="OK",AJ8="OK",AN8="OK"),"OK","NG"))</f>
      </c>
    </row>
    <row r="9" spans="1:41" s="50" customFormat="1" ht="27" customHeight="1">
      <c r="A9" s="85"/>
      <c r="B9" s="57">
        <f t="shared" si="0"/>
      </c>
      <c r="C9" s="51">
        <f ca="1" t="shared" si="1"/>
      </c>
      <c r="D9" s="53">
        <f ca="1" t="shared" si="2"/>
      </c>
      <c r="E9" s="51">
        <f ca="1" t="shared" si="3"/>
      </c>
      <c r="F9" s="51">
        <f ca="1" t="shared" si="4"/>
      </c>
      <c r="G9" s="52">
        <f ca="1" t="shared" si="5"/>
      </c>
      <c r="H9" s="51">
        <f ca="1" t="shared" si="6"/>
      </c>
      <c r="I9" s="59">
        <f ca="1" t="shared" si="7"/>
      </c>
      <c r="J9" s="60">
        <f ca="1" t="shared" si="8"/>
      </c>
      <c r="K9" s="59">
        <f ca="1" t="shared" si="9"/>
      </c>
      <c r="L9" s="59">
        <f ca="1" t="shared" si="10"/>
      </c>
      <c r="M9" s="61">
        <f ca="1" t="shared" si="11"/>
      </c>
      <c r="N9" s="48">
        <f t="shared" si="12"/>
      </c>
      <c r="O9" s="49">
        <f ca="1" t="shared" si="13"/>
      </c>
      <c r="P9" s="46">
        <f t="shared" si="14"/>
      </c>
      <c r="Q9" s="47">
        <f ca="1" t="shared" si="15"/>
      </c>
      <c r="R9" s="48">
        <f t="shared" si="16"/>
      </c>
      <c r="S9" s="49">
        <f ca="1" t="shared" si="17"/>
      </c>
      <c r="T9" s="46">
        <f t="shared" si="18"/>
      </c>
      <c r="U9" s="47">
        <f ca="1" t="shared" si="19"/>
      </c>
      <c r="V9" s="48">
        <f t="shared" si="20"/>
      </c>
      <c r="W9" s="49">
        <f ca="1" t="shared" si="21"/>
      </c>
      <c r="X9" s="46">
        <f t="shared" si="22"/>
      </c>
      <c r="Y9" s="47">
        <f ca="1" t="shared" si="23"/>
      </c>
      <c r="Z9" s="48">
        <f t="shared" si="24"/>
      </c>
      <c r="AA9" s="49">
        <f ca="1" t="shared" si="25"/>
      </c>
      <c r="AB9" s="46">
        <f t="shared" si="26"/>
      </c>
      <c r="AC9" s="47">
        <f ca="1" t="shared" si="27"/>
      </c>
      <c r="AD9" s="48">
        <f t="shared" si="28"/>
      </c>
      <c r="AE9" s="49">
        <f ca="1" t="shared" si="29"/>
      </c>
      <c r="AF9" s="46">
        <f t="shared" si="30"/>
      </c>
      <c r="AG9" s="47">
        <f ca="1" t="shared" si="31"/>
      </c>
      <c r="AH9" s="48">
        <f t="shared" si="32"/>
      </c>
      <c r="AI9" s="49">
        <f ca="1" t="shared" si="33"/>
      </c>
      <c r="AJ9" s="46">
        <f t="shared" si="34"/>
      </c>
      <c r="AK9" s="47">
        <f ca="1" t="shared" si="35"/>
      </c>
      <c r="AL9" s="48">
        <f t="shared" si="36"/>
      </c>
      <c r="AM9" s="49">
        <f ca="1" t="shared" si="37"/>
      </c>
      <c r="AN9" s="46">
        <f t="shared" si="38"/>
      </c>
      <c r="AO9" s="46">
        <f t="shared" si="39"/>
      </c>
    </row>
    <row r="10" spans="1:41" s="50" customFormat="1" ht="27" customHeight="1">
      <c r="A10" s="85"/>
      <c r="B10" s="57">
        <f t="shared" si="0"/>
      </c>
      <c r="C10" s="51">
        <f ca="1" t="shared" si="1"/>
      </c>
      <c r="D10" s="53">
        <f ca="1" t="shared" si="2"/>
      </c>
      <c r="E10" s="51">
        <f ca="1" t="shared" si="3"/>
      </c>
      <c r="F10" s="51">
        <f ca="1" t="shared" si="4"/>
      </c>
      <c r="G10" s="52">
        <f ca="1" t="shared" si="5"/>
      </c>
      <c r="H10" s="51">
        <f ca="1" t="shared" si="6"/>
      </c>
      <c r="I10" s="59">
        <f ca="1" t="shared" si="7"/>
      </c>
      <c r="J10" s="60">
        <f ca="1" t="shared" si="8"/>
      </c>
      <c r="K10" s="59">
        <f ca="1" t="shared" si="9"/>
      </c>
      <c r="L10" s="59">
        <f ca="1" t="shared" si="10"/>
      </c>
      <c r="M10" s="61">
        <f ca="1" t="shared" si="11"/>
      </c>
      <c r="N10" s="48">
        <f t="shared" si="12"/>
      </c>
      <c r="O10" s="49">
        <f ca="1" t="shared" si="13"/>
      </c>
      <c r="P10" s="46">
        <f t="shared" si="14"/>
      </c>
      <c r="Q10" s="47">
        <f ca="1" t="shared" si="15"/>
      </c>
      <c r="R10" s="48">
        <f t="shared" si="16"/>
      </c>
      <c r="S10" s="49">
        <f ca="1" t="shared" si="17"/>
      </c>
      <c r="T10" s="46">
        <f t="shared" si="18"/>
      </c>
      <c r="U10" s="47">
        <f ca="1" t="shared" si="19"/>
      </c>
      <c r="V10" s="48">
        <f t="shared" si="20"/>
      </c>
      <c r="W10" s="49">
        <f ca="1" t="shared" si="21"/>
      </c>
      <c r="X10" s="46">
        <f t="shared" si="22"/>
      </c>
      <c r="Y10" s="47">
        <f ca="1" t="shared" si="23"/>
      </c>
      <c r="Z10" s="48">
        <f t="shared" si="24"/>
      </c>
      <c r="AA10" s="49">
        <f ca="1" t="shared" si="25"/>
      </c>
      <c r="AB10" s="46">
        <f t="shared" si="26"/>
      </c>
      <c r="AC10" s="47">
        <f ca="1" t="shared" si="27"/>
      </c>
      <c r="AD10" s="48">
        <f t="shared" si="28"/>
      </c>
      <c r="AE10" s="49">
        <f ca="1" t="shared" si="29"/>
      </c>
      <c r="AF10" s="46">
        <f t="shared" si="30"/>
      </c>
      <c r="AG10" s="47">
        <f ca="1" t="shared" si="31"/>
      </c>
      <c r="AH10" s="48">
        <f t="shared" si="32"/>
      </c>
      <c r="AI10" s="49">
        <f ca="1" t="shared" si="33"/>
      </c>
      <c r="AJ10" s="46">
        <f t="shared" si="34"/>
      </c>
      <c r="AK10" s="47">
        <f ca="1" t="shared" si="35"/>
      </c>
      <c r="AL10" s="48">
        <f t="shared" si="36"/>
      </c>
      <c r="AM10" s="49">
        <f ca="1" t="shared" si="37"/>
      </c>
      <c r="AN10" s="46">
        <f t="shared" si="38"/>
      </c>
      <c r="AO10" s="46">
        <f t="shared" si="39"/>
      </c>
    </row>
    <row r="11" spans="1:41" s="50" customFormat="1" ht="27" customHeight="1">
      <c r="A11" s="85"/>
      <c r="B11" s="57">
        <f t="shared" si="0"/>
      </c>
      <c r="C11" s="51">
        <f ca="1" t="shared" si="1"/>
      </c>
      <c r="D11" s="53">
        <f ca="1" t="shared" si="2"/>
      </c>
      <c r="E11" s="51">
        <f ca="1" t="shared" si="3"/>
      </c>
      <c r="F11" s="51">
        <f ca="1" t="shared" si="4"/>
      </c>
      <c r="G11" s="52">
        <f ca="1" t="shared" si="5"/>
      </c>
      <c r="H11" s="51">
        <f ca="1" t="shared" si="6"/>
      </c>
      <c r="I11" s="59">
        <f ca="1" t="shared" si="7"/>
      </c>
      <c r="J11" s="60">
        <f ca="1" t="shared" si="8"/>
      </c>
      <c r="K11" s="59">
        <f ca="1" t="shared" si="9"/>
      </c>
      <c r="L11" s="59">
        <f ca="1" t="shared" si="10"/>
      </c>
      <c r="M11" s="61">
        <f ca="1" t="shared" si="11"/>
      </c>
      <c r="N11" s="48">
        <f t="shared" si="12"/>
      </c>
      <c r="O11" s="49">
        <f ca="1" t="shared" si="13"/>
      </c>
      <c r="P11" s="46">
        <f t="shared" si="14"/>
      </c>
      <c r="Q11" s="47">
        <f ca="1" t="shared" si="15"/>
      </c>
      <c r="R11" s="48">
        <f t="shared" si="16"/>
      </c>
      <c r="S11" s="49">
        <f ca="1" t="shared" si="17"/>
      </c>
      <c r="T11" s="46">
        <f t="shared" si="18"/>
      </c>
      <c r="U11" s="47">
        <f ca="1" t="shared" si="19"/>
      </c>
      <c r="V11" s="48">
        <f t="shared" si="20"/>
      </c>
      <c r="W11" s="49">
        <f ca="1" t="shared" si="21"/>
      </c>
      <c r="X11" s="46">
        <f t="shared" si="22"/>
      </c>
      <c r="Y11" s="47">
        <f ca="1" t="shared" si="23"/>
      </c>
      <c r="Z11" s="48">
        <f t="shared" si="24"/>
      </c>
      <c r="AA11" s="49">
        <f ca="1" t="shared" si="25"/>
      </c>
      <c r="AB11" s="46">
        <f t="shared" si="26"/>
      </c>
      <c r="AC11" s="47">
        <f ca="1" t="shared" si="27"/>
      </c>
      <c r="AD11" s="48">
        <f t="shared" si="28"/>
      </c>
      <c r="AE11" s="49">
        <f ca="1" t="shared" si="29"/>
      </c>
      <c r="AF11" s="46">
        <f t="shared" si="30"/>
      </c>
      <c r="AG11" s="47">
        <f ca="1" t="shared" si="31"/>
      </c>
      <c r="AH11" s="48">
        <f t="shared" si="32"/>
      </c>
      <c r="AI11" s="49">
        <f ca="1" t="shared" si="33"/>
      </c>
      <c r="AJ11" s="46">
        <f t="shared" si="34"/>
      </c>
      <c r="AK11" s="47">
        <f ca="1" t="shared" si="35"/>
      </c>
      <c r="AL11" s="48">
        <f t="shared" si="36"/>
      </c>
      <c r="AM11" s="49">
        <f ca="1" t="shared" si="37"/>
      </c>
      <c r="AN11" s="46">
        <f t="shared" si="38"/>
      </c>
      <c r="AO11" s="46">
        <f t="shared" si="39"/>
      </c>
    </row>
    <row r="12" spans="1:41" s="50" customFormat="1" ht="27" customHeight="1">
      <c r="A12" s="85"/>
      <c r="B12" s="57">
        <f t="shared" si="0"/>
      </c>
      <c r="C12" s="51">
        <f ca="1" t="shared" si="1"/>
      </c>
      <c r="D12" s="53">
        <f ca="1" t="shared" si="2"/>
      </c>
      <c r="E12" s="51">
        <f ca="1" t="shared" si="3"/>
      </c>
      <c r="F12" s="51">
        <f ca="1" t="shared" si="4"/>
      </c>
      <c r="G12" s="52">
        <f ca="1" t="shared" si="5"/>
      </c>
      <c r="H12" s="51">
        <f ca="1" t="shared" si="6"/>
      </c>
      <c r="I12" s="59">
        <f ca="1" t="shared" si="7"/>
      </c>
      <c r="J12" s="60">
        <f ca="1" t="shared" si="8"/>
      </c>
      <c r="K12" s="59">
        <f ca="1" t="shared" si="9"/>
      </c>
      <c r="L12" s="59">
        <f ca="1" t="shared" si="10"/>
      </c>
      <c r="M12" s="61">
        <f ca="1" t="shared" si="11"/>
      </c>
      <c r="N12" s="48">
        <f t="shared" si="12"/>
      </c>
      <c r="O12" s="49">
        <f ca="1" t="shared" si="13"/>
      </c>
      <c r="P12" s="46">
        <f t="shared" si="14"/>
      </c>
      <c r="Q12" s="47">
        <f ca="1" t="shared" si="15"/>
      </c>
      <c r="R12" s="48">
        <f t="shared" si="16"/>
      </c>
      <c r="S12" s="49">
        <f ca="1" t="shared" si="17"/>
      </c>
      <c r="T12" s="46">
        <f t="shared" si="18"/>
      </c>
      <c r="U12" s="47">
        <f ca="1" t="shared" si="19"/>
      </c>
      <c r="V12" s="48">
        <f t="shared" si="20"/>
      </c>
      <c r="W12" s="49">
        <f ca="1" t="shared" si="21"/>
      </c>
      <c r="X12" s="46">
        <f t="shared" si="22"/>
      </c>
      <c r="Y12" s="47">
        <f ca="1" t="shared" si="23"/>
      </c>
      <c r="Z12" s="48">
        <f t="shared" si="24"/>
      </c>
      <c r="AA12" s="49">
        <f ca="1" t="shared" si="25"/>
      </c>
      <c r="AB12" s="46">
        <f t="shared" si="26"/>
      </c>
      <c r="AC12" s="47">
        <f ca="1" t="shared" si="27"/>
      </c>
      <c r="AD12" s="48">
        <f t="shared" si="28"/>
      </c>
      <c r="AE12" s="49">
        <f ca="1" t="shared" si="29"/>
      </c>
      <c r="AF12" s="46">
        <f t="shared" si="30"/>
      </c>
      <c r="AG12" s="47">
        <f ca="1" t="shared" si="31"/>
      </c>
      <c r="AH12" s="48">
        <f t="shared" si="32"/>
      </c>
      <c r="AI12" s="49">
        <f ca="1" t="shared" si="33"/>
      </c>
      <c r="AJ12" s="46">
        <f t="shared" si="34"/>
      </c>
      <c r="AK12" s="47">
        <f ca="1" t="shared" si="35"/>
      </c>
      <c r="AL12" s="48">
        <f t="shared" si="36"/>
      </c>
      <c r="AM12" s="49">
        <f ca="1" t="shared" si="37"/>
      </c>
      <c r="AN12" s="46">
        <f t="shared" si="38"/>
      </c>
      <c r="AO12" s="46">
        <f t="shared" si="39"/>
      </c>
    </row>
    <row r="13" spans="1:41" s="50" customFormat="1" ht="27" customHeight="1">
      <c r="A13" s="85"/>
      <c r="B13" s="57">
        <f t="shared" si="0"/>
      </c>
      <c r="C13" s="51">
        <f ca="1" t="shared" si="1"/>
      </c>
      <c r="D13" s="53">
        <f ca="1" t="shared" si="2"/>
      </c>
      <c r="E13" s="51">
        <f ca="1" t="shared" si="3"/>
      </c>
      <c r="F13" s="51">
        <f ca="1" t="shared" si="4"/>
      </c>
      <c r="G13" s="52">
        <f ca="1" t="shared" si="5"/>
      </c>
      <c r="H13" s="51">
        <f ca="1" t="shared" si="6"/>
      </c>
      <c r="I13" s="59">
        <f ca="1" t="shared" si="7"/>
      </c>
      <c r="J13" s="60">
        <f ca="1" t="shared" si="8"/>
      </c>
      <c r="K13" s="59">
        <f ca="1" t="shared" si="9"/>
      </c>
      <c r="L13" s="59">
        <f ca="1" t="shared" si="10"/>
      </c>
      <c r="M13" s="61">
        <f ca="1" t="shared" si="11"/>
      </c>
      <c r="N13" s="48">
        <f t="shared" si="12"/>
      </c>
      <c r="O13" s="49">
        <f ca="1" t="shared" si="13"/>
      </c>
      <c r="P13" s="46">
        <f t="shared" si="14"/>
      </c>
      <c r="Q13" s="47">
        <f ca="1" t="shared" si="15"/>
      </c>
      <c r="R13" s="48">
        <f t="shared" si="16"/>
      </c>
      <c r="S13" s="49">
        <f ca="1" t="shared" si="17"/>
      </c>
      <c r="T13" s="46">
        <f t="shared" si="18"/>
      </c>
      <c r="U13" s="47">
        <f ca="1" t="shared" si="19"/>
      </c>
      <c r="V13" s="48">
        <f t="shared" si="20"/>
      </c>
      <c r="W13" s="49">
        <f ca="1" t="shared" si="21"/>
      </c>
      <c r="X13" s="46">
        <f t="shared" si="22"/>
      </c>
      <c r="Y13" s="47">
        <f ca="1" t="shared" si="23"/>
      </c>
      <c r="Z13" s="48">
        <f t="shared" si="24"/>
      </c>
      <c r="AA13" s="49">
        <f ca="1" t="shared" si="25"/>
      </c>
      <c r="AB13" s="46">
        <f t="shared" si="26"/>
      </c>
      <c r="AC13" s="47">
        <f ca="1" t="shared" si="27"/>
      </c>
      <c r="AD13" s="48">
        <f t="shared" si="28"/>
      </c>
      <c r="AE13" s="49">
        <f ca="1" t="shared" si="29"/>
      </c>
      <c r="AF13" s="46">
        <f t="shared" si="30"/>
      </c>
      <c r="AG13" s="47">
        <f ca="1" t="shared" si="31"/>
      </c>
      <c r="AH13" s="48">
        <f t="shared" si="32"/>
      </c>
      <c r="AI13" s="49">
        <f ca="1" t="shared" si="33"/>
      </c>
      <c r="AJ13" s="46">
        <f t="shared" si="34"/>
      </c>
      <c r="AK13" s="47">
        <f ca="1" t="shared" si="35"/>
      </c>
      <c r="AL13" s="48">
        <f t="shared" si="36"/>
      </c>
      <c r="AM13" s="49">
        <f ca="1" t="shared" si="37"/>
      </c>
      <c r="AN13" s="46">
        <f t="shared" si="38"/>
      </c>
      <c r="AO13" s="46">
        <f t="shared" si="39"/>
      </c>
    </row>
    <row r="14" spans="1:41" s="50" customFormat="1" ht="27" customHeight="1">
      <c r="A14" s="85"/>
      <c r="B14" s="57">
        <f t="shared" si="0"/>
      </c>
      <c r="C14" s="51">
        <f ca="1" t="shared" si="1"/>
      </c>
      <c r="D14" s="53">
        <f ca="1" t="shared" si="2"/>
      </c>
      <c r="E14" s="51">
        <f ca="1" t="shared" si="3"/>
      </c>
      <c r="F14" s="51">
        <f ca="1" t="shared" si="4"/>
      </c>
      <c r="G14" s="52">
        <f ca="1" t="shared" si="5"/>
      </c>
      <c r="H14" s="51">
        <f ca="1" t="shared" si="6"/>
      </c>
      <c r="I14" s="59">
        <f ca="1" t="shared" si="7"/>
      </c>
      <c r="J14" s="60">
        <f ca="1" t="shared" si="8"/>
      </c>
      <c r="K14" s="59">
        <f ca="1" t="shared" si="9"/>
      </c>
      <c r="L14" s="59">
        <f ca="1" t="shared" si="10"/>
      </c>
      <c r="M14" s="61">
        <f ca="1" t="shared" si="11"/>
      </c>
      <c r="N14" s="48">
        <f t="shared" si="12"/>
      </c>
      <c r="O14" s="49">
        <f ca="1" t="shared" si="13"/>
      </c>
      <c r="P14" s="46">
        <f t="shared" si="14"/>
      </c>
      <c r="Q14" s="47">
        <f ca="1" t="shared" si="15"/>
      </c>
      <c r="R14" s="48">
        <f t="shared" si="16"/>
      </c>
      <c r="S14" s="49">
        <f ca="1" t="shared" si="17"/>
      </c>
      <c r="T14" s="46">
        <f t="shared" si="18"/>
      </c>
      <c r="U14" s="47">
        <f ca="1" t="shared" si="19"/>
      </c>
      <c r="V14" s="48">
        <f t="shared" si="20"/>
      </c>
      <c r="W14" s="49">
        <f ca="1" t="shared" si="21"/>
      </c>
      <c r="X14" s="46">
        <f t="shared" si="22"/>
      </c>
      <c r="Y14" s="47">
        <f ca="1" t="shared" si="23"/>
      </c>
      <c r="Z14" s="48">
        <f t="shared" si="24"/>
      </c>
      <c r="AA14" s="49">
        <f ca="1" t="shared" si="25"/>
      </c>
      <c r="AB14" s="46">
        <f t="shared" si="26"/>
      </c>
      <c r="AC14" s="47">
        <f ca="1" t="shared" si="27"/>
      </c>
      <c r="AD14" s="48">
        <f t="shared" si="28"/>
      </c>
      <c r="AE14" s="49">
        <f ca="1" t="shared" si="29"/>
      </c>
      <c r="AF14" s="46">
        <f t="shared" si="30"/>
      </c>
      <c r="AG14" s="47">
        <f ca="1" t="shared" si="31"/>
      </c>
      <c r="AH14" s="48">
        <f t="shared" si="32"/>
      </c>
      <c r="AI14" s="49">
        <f ca="1" t="shared" si="33"/>
      </c>
      <c r="AJ14" s="46">
        <f t="shared" si="34"/>
      </c>
      <c r="AK14" s="47">
        <f ca="1" t="shared" si="35"/>
      </c>
      <c r="AL14" s="48">
        <f t="shared" si="36"/>
      </c>
      <c r="AM14" s="49">
        <f ca="1" t="shared" si="37"/>
      </c>
      <c r="AN14" s="46">
        <f t="shared" si="38"/>
      </c>
      <c r="AO14" s="46">
        <f t="shared" si="39"/>
      </c>
    </row>
    <row r="15" spans="1:41" s="50" customFormat="1" ht="27" customHeight="1">
      <c r="A15" s="85"/>
      <c r="B15" s="57">
        <f t="shared" si="0"/>
      </c>
      <c r="C15" s="51">
        <f ca="1" t="shared" si="1"/>
      </c>
      <c r="D15" s="53">
        <f ca="1" t="shared" si="2"/>
      </c>
      <c r="E15" s="51">
        <f ca="1" t="shared" si="3"/>
      </c>
      <c r="F15" s="51">
        <f ca="1" t="shared" si="4"/>
      </c>
      <c r="G15" s="52">
        <f ca="1" t="shared" si="5"/>
      </c>
      <c r="H15" s="51">
        <f ca="1" t="shared" si="6"/>
      </c>
      <c r="I15" s="59">
        <f ca="1" t="shared" si="7"/>
      </c>
      <c r="J15" s="60">
        <f ca="1" t="shared" si="8"/>
      </c>
      <c r="K15" s="59">
        <f ca="1" t="shared" si="9"/>
      </c>
      <c r="L15" s="59">
        <f ca="1" t="shared" si="10"/>
      </c>
      <c r="M15" s="61">
        <f ca="1" t="shared" si="11"/>
      </c>
      <c r="N15" s="48">
        <f t="shared" si="12"/>
      </c>
      <c r="O15" s="49">
        <f ca="1" t="shared" si="13"/>
      </c>
      <c r="P15" s="46">
        <f t="shared" si="14"/>
      </c>
      <c r="Q15" s="47">
        <f ca="1" t="shared" si="15"/>
      </c>
      <c r="R15" s="48">
        <f t="shared" si="16"/>
      </c>
      <c r="S15" s="49">
        <f ca="1" t="shared" si="17"/>
      </c>
      <c r="T15" s="46">
        <f t="shared" si="18"/>
      </c>
      <c r="U15" s="47">
        <f ca="1" t="shared" si="19"/>
      </c>
      <c r="V15" s="48">
        <f t="shared" si="20"/>
      </c>
      <c r="W15" s="49">
        <f ca="1" t="shared" si="21"/>
      </c>
      <c r="X15" s="46">
        <f t="shared" si="22"/>
      </c>
      <c r="Y15" s="47">
        <f ca="1" t="shared" si="23"/>
      </c>
      <c r="Z15" s="48">
        <f t="shared" si="24"/>
      </c>
      <c r="AA15" s="49">
        <f ca="1" t="shared" si="25"/>
      </c>
      <c r="AB15" s="46">
        <f t="shared" si="26"/>
      </c>
      <c r="AC15" s="47">
        <f ca="1" t="shared" si="27"/>
      </c>
      <c r="AD15" s="48">
        <f t="shared" si="28"/>
      </c>
      <c r="AE15" s="49">
        <f ca="1" t="shared" si="29"/>
      </c>
      <c r="AF15" s="46">
        <f t="shared" si="30"/>
      </c>
      <c r="AG15" s="47">
        <f ca="1" t="shared" si="31"/>
      </c>
      <c r="AH15" s="48">
        <f t="shared" si="32"/>
      </c>
      <c r="AI15" s="49">
        <f ca="1" t="shared" si="33"/>
      </c>
      <c r="AJ15" s="46">
        <f t="shared" si="34"/>
      </c>
      <c r="AK15" s="47">
        <f ca="1" t="shared" si="35"/>
      </c>
      <c r="AL15" s="48">
        <f t="shared" si="36"/>
      </c>
      <c r="AM15" s="49">
        <f ca="1" t="shared" si="37"/>
      </c>
      <c r="AN15" s="46">
        <f t="shared" si="38"/>
      </c>
      <c r="AO15" s="46">
        <f t="shared" si="39"/>
      </c>
    </row>
    <row r="16" spans="1:41" s="50" customFormat="1" ht="27" customHeight="1">
      <c r="A16" s="85"/>
      <c r="B16" s="57">
        <f t="shared" si="0"/>
      </c>
      <c r="C16" s="51">
        <f ca="1" t="shared" si="1"/>
      </c>
      <c r="D16" s="53">
        <f ca="1" t="shared" si="2"/>
      </c>
      <c r="E16" s="51">
        <f ca="1" t="shared" si="3"/>
      </c>
      <c r="F16" s="51">
        <f ca="1" t="shared" si="4"/>
      </c>
      <c r="G16" s="52">
        <f ca="1" t="shared" si="5"/>
      </c>
      <c r="H16" s="51">
        <f ca="1" t="shared" si="6"/>
      </c>
      <c r="I16" s="59">
        <f ca="1" t="shared" si="7"/>
      </c>
      <c r="J16" s="60">
        <f ca="1" t="shared" si="8"/>
      </c>
      <c r="K16" s="59">
        <f ca="1" t="shared" si="9"/>
      </c>
      <c r="L16" s="59">
        <f ca="1" t="shared" si="10"/>
      </c>
      <c r="M16" s="61">
        <f ca="1" t="shared" si="11"/>
      </c>
      <c r="N16" s="48">
        <f t="shared" si="12"/>
      </c>
      <c r="O16" s="49">
        <f ca="1" t="shared" si="13"/>
      </c>
      <c r="P16" s="46">
        <f t="shared" si="14"/>
      </c>
      <c r="Q16" s="47">
        <f ca="1" t="shared" si="15"/>
      </c>
      <c r="R16" s="48">
        <f t="shared" si="16"/>
      </c>
      <c r="S16" s="49">
        <f ca="1" t="shared" si="17"/>
      </c>
      <c r="T16" s="46">
        <f t="shared" si="18"/>
      </c>
      <c r="U16" s="47">
        <f ca="1" t="shared" si="19"/>
      </c>
      <c r="V16" s="48">
        <f t="shared" si="20"/>
      </c>
      <c r="W16" s="49">
        <f ca="1" t="shared" si="21"/>
      </c>
      <c r="X16" s="46">
        <f t="shared" si="22"/>
      </c>
      <c r="Y16" s="47">
        <f ca="1" t="shared" si="23"/>
      </c>
      <c r="Z16" s="48">
        <f t="shared" si="24"/>
      </c>
      <c r="AA16" s="49">
        <f ca="1" t="shared" si="25"/>
      </c>
      <c r="AB16" s="46">
        <f t="shared" si="26"/>
      </c>
      <c r="AC16" s="47">
        <f ca="1" t="shared" si="27"/>
      </c>
      <c r="AD16" s="48">
        <f t="shared" si="28"/>
      </c>
      <c r="AE16" s="49">
        <f ca="1" t="shared" si="29"/>
      </c>
      <c r="AF16" s="46">
        <f t="shared" si="30"/>
      </c>
      <c r="AG16" s="47">
        <f ca="1" t="shared" si="31"/>
      </c>
      <c r="AH16" s="48">
        <f t="shared" si="32"/>
      </c>
      <c r="AI16" s="49">
        <f ca="1" t="shared" si="33"/>
      </c>
      <c r="AJ16" s="46">
        <f t="shared" si="34"/>
      </c>
      <c r="AK16" s="47">
        <f ca="1" t="shared" si="35"/>
      </c>
      <c r="AL16" s="48">
        <f t="shared" si="36"/>
      </c>
      <c r="AM16" s="49">
        <f ca="1" t="shared" si="37"/>
      </c>
      <c r="AN16" s="46">
        <f t="shared" si="38"/>
      </c>
      <c r="AO16" s="46">
        <f t="shared" si="39"/>
      </c>
    </row>
    <row r="17" spans="1:41" s="50" customFormat="1" ht="27" customHeight="1">
      <c r="A17" s="85"/>
      <c r="B17" s="57">
        <f t="shared" si="0"/>
      </c>
      <c r="C17" s="51">
        <f ca="1" t="shared" si="1"/>
      </c>
      <c r="D17" s="53">
        <f ca="1" t="shared" si="2"/>
      </c>
      <c r="E17" s="51">
        <f ca="1" t="shared" si="3"/>
      </c>
      <c r="F17" s="51">
        <f ca="1" t="shared" si="4"/>
      </c>
      <c r="G17" s="52">
        <f ca="1" t="shared" si="5"/>
      </c>
      <c r="H17" s="51">
        <f ca="1" t="shared" si="6"/>
      </c>
      <c r="I17" s="59">
        <f ca="1" t="shared" si="7"/>
      </c>
      <c r="J17" s="60">
        <f ca="1" t="shared" si="8"/>
      </c>
      <c r="K17" s="59">
        <f ca="1" t="shared" si="9"/>
      </c>
      <c r="L17" s="59">
        <f ca="1" t="shared" si="10"/>
      </c>
      <c r="M17" s="61">
        <f ca="1" t="shared" si="11"/>
      </c>
      <c r="N17" s="48">
        <f t="shared" si="12"/>
      </c>
      <c r="O17" s="49">
        <f ca="1" t="shared" si="13"/>
      </c>
      <c r="P17" s="46">
        <f t="shared" si="14"/>
      </c>
      <c r="Q17" s="47">
        <f ca="1" t="shared" si="15"/>
      </c>
      <c r="R17" s="48">
        <f t="shared" si="16"/>
      </c>
      <c r="S17" s="49">
        <f ca="1" t="shared" si="17"/>
      </c>
      <c r="T17" s="46">
        <f t="shared" si="18"/>
      </c>
      <c r="U17" s="47">
        <f ca="1" t="shared" si="19"/>
      </c>
      <c r="V17" s="48">
        <f t="shared" si="20"/>
      </c>
      <c r="W17" s="49">
        <f ca="1" t="shared" si="21"/>
      </c>
      <c r="X17" s="46">
        <f t="shared" si="22"/>
      </c>
      <c r="Y17" s="47">
        <f ca="1" t="shared" si="23"/>
      </c>
      <c r="Z17" s="48">
        <f t="shared" si="24"/>
      </c>
      <c r="AA17" s="49">
        <f ca="1" t="shared" si="25"/>
      </c>
      <c r="AB17" s="46">
        <f t="shared" si="26"/>
      </c>
      <c r="AC17" s="47">
        <f ca="1" t="shared" si="27"/>
      </c>
      <c r="AD17" s="48">
        <f t="shared" si="28"/>
      </c>
      <c r="AE17" s="49">
        <f ca="1" t="shared" si="29"/>
      </c>
      <c r="AF17" s="46">
        <f t="shared" si="30"/>
      </c>
      <c r="AG17" s="47">
        <f ca="1" t="shared" si="31"/>
      </c>
      <c r="AH17" s="48">
        <f t="shared" si="32"/>
      </c>
      <c r="AI17" s="49">
        <f ca="1" t="shared" si="33"/>
      </c>
      <c r="AJ17" s="46">
        <f t="shared" si="34"/>
      </c>
      <c r="AK17" s="47">
        <f ca="1" t="shared" si="35"/>
      </c>
      <c r="AL17" s="48">
        <f t="shared" si="36"/>
      </c>
      <c r="AM17" s="49">
        <f ca="1" t="shared" si="37"/>
      </c>
      <c r="AN17" s="46">
        <f t="shared" si="38"/>
      </c>
      <c r="AO17" s="46">
        <f t="shared" si="39"/>
      </c>
    </row>
    <row r="18" spans="1:41" s="50" customFormat="1" ht="27" customHeight="1">
      <c r="A18" s="85"/>
      <c r="B18" s="57">
        <f t="shared" si="0"/>
      </c>
      <c r="C18" s="51">
        <f ca="1" t="shared" si="1"/>
      </c>
      <c r="D18" s="53">
        <f ca="1" t="shared" si="2"/>
      </c>
      <c r="E18" s="51">
        <f ca="1" t="shared" si="3"/>
      </c>
      <c r="F18" s="51">
        <f ca="1" t="shared" si="4"/>
      </c>
      <c r="G18" s="52">
        <f ca="1" t="shared" si="5"/>
      </c>
      <c r="H18" s="51">
        <f ca="1" t="shared" si="6"/>
      </c>
      <c r="I18" s="59">
        <f ca="1" t="shared" si="7"/>
      </c>
      <c r="J18" s="60">
        <f ca="1" t="shared" si="8"/>
      </c>
      <c r="K18" s="59">
        <f ca="1" t="shared" si="9"/>
      </c>
      <c r="L18" s="59">
        <f ca="1" t="shared" si="10"/>
      </c>
      <c r="M18" s="61">
        <f ca="1" t="shared" si="11"/>
      </c>
      <c r="N18" s="48">
        <f t="shared" si="12"/>
      </c>
      <c r="O18" s="49">
        <f ca="1" t="shared" si="13"/>
      </c>
      <c r="P18" s="46">
        <f t="shared" si="14"/>
      </c>
      <c r="Q18" s="47">
        <f ca="1" t="shared" si="15"/>
      </c>
      <c r="R18" s="48">
        <f t="shared" si="16"/>
      </c>
      <c r="S18" s="49">
        <f ca="1" t="shared" si="17"/>
      </c>
      <c r="T18" s="46">
        <f t="shared" si="18"/>
      </c>
      <c r="U18" s="47">
        <f ca="1" t="shared" si="19"/>
      </c>
      <c r="V18" s="48">
        <f t="shared" si="20"/>
      </c>
      <c r="W18" s="49">
        <f ca="1" t="shared" si="21"/>
      </c>
      <c r="X18" s="46">
        <f t="shared" si="22"/>
      </c>
      <c r="Y18" s="47">
        <f ca="1" t="shared" si="23"/>
      </c>
      <c r="Z18" s="48">
        <f t="shared" si="24"/>
      </c>
      <c r="AA18" s="49">
        <f ca="1" t="shared" si="25"/>
      </c>
      <c r="AB18" s="46">
        <f t="shared" si="26"/>
      </c>
      <c r="AC18" s="47">
        <f ca="1" t="shared" si="27"/>
      </c>
      <c r="AD18" s="48">
        <f t="shared" si="28"/>
      </c>
      <c r="AE18" s="49">
        <f ca="1" t="shared" si="29"/>
      </c>
      <c r="AF18" s="46">
        <f t="shared" si="30"/>
      </c>
      <c r="AG18" s="47">
        <f ca="1" t="shared" si="31"/>
      </c>
      <c r="AH18" s="48">
        <f t="shared" si="32"/>
      </c>
      <c r="AI18" s="49">
        <f ca="1" t="shared" si="33"/>
      </c>
      <c r="AJ18" s="46">
        <f t="shared" si="34"/>
      </c>
      <c r="AK18" s="47">
        <f ca="1" t="shared" si="35"/>
      </c>
      <c r="AL18" s="48">
        <f t="shared" si="36"/>
      </c>
      <c r="AM18" s="49">
        <f ca="1" t="shared" si="37"/>
      </c>
      <c r="AN18" s="46">
        <f t="shared" si="38"/>
      </c>
      <c r="AO18" s="46">
        <f t="shared" si="39"/>
      </c>
    </row>
    <row r="19" spans="1:41" s="50" customFormat="1" ht="27" customHeight="1">
      <c r="A19" s="85"/>
      <c r="B19" s="57">
        <f t="shared" si="0"/>
      </c>
      <c r="C19" s="51">
        <f ca="1" t="shared" si="1"/>
      </c>
      <c r="D19" s="53">
        <f ca="1" t="shared" si="2"/>
      </c>
      <c r="E19" s="51">
        <f ca="1" t="shared" si="3"/>
      </c>
      <c r="F19" s="51">
        <f ca="1" t="shared" si="4"/>
      </c>
      <c r="G19" s="52">
        <f ca="1" t="shared" si="5"/>
      </c>
      <c r="H19" s="51">
        <f ca="1" t="shared" si="6"/>
      </c>
      <c r="I19" s="59">
        <f ca="1" t="shared" si="7"/>
      </c>
      <c r="J19" s="60">
        <f ca="1" t="shared" si="8"/>
      </c>
      <c r="K19" s="59">
        <f ca="1" t="shared" si="9"/>
      </c>
      <c r="L19" s="59">
        <f ca="1" t="shared" si="10"/>
      </c>
      <c r="M19" s="61">
        <f ca="1" t="shared" si="11"/>
      </c>
      <c r="N19" s="48">
        <f t="shared" si="12"/>
      </c>
      <c r="O19" s="49">
        <f ca="1" t="shared" si="13"/>
      </c>
      <c r="P19" s="46">
        <f t="shared" si="14"/>
      </c>
      <c r="Q19" s="47">
        <f ca="1" t="shared" si="15"/>
      </c>
      <c r="R19" s="48">
        <f t="shared" si="16"/>
      </c>
      <c r="S19" s="49">
        <f ca="1" t="shared" si="17"/>
      </c>
      <c r="T19" s="46">
        <f t="shared" si="18"/>
      </c>
      <c r="U19" s="47">
        <f ca="1" t="shared" si="19"/>
      </c>
      <c r="V19" s="48">
        <f t="shared" si="20"/>
      </c>
      <c r="W19" s="49">
        <f ca="1" t="shared" si="21"/>
      </c>
      <c r="X19" s="46">
        <f t="shared" si="22"/>
      </c>
      <c r="Y19" s="47">
        <f ca="1" t="shared" si="23"/>
      </c>
      <c r="Z19" s="48">
        <f t="shared" si="24"/>
      </c>
      <c r="AA19" s="49">
        <f ca="1" t="shared" si="25"/>
      </c>
      <c r="AB19" s="46">
        <f t="shared" si="26"/>
      </c>
      <c r="AC19" s="47">
        <f ca="1" t="shared" si="27"/>
      </c>
      <c r="AD19" s="48">
        <f t="shared" si="28"/>
      </c>
      <c r="AE19" s="49">
        <f ca="1" t="shared" si="29"/>
      </c>
      <c r="AF19" s="46">
        <f t="shared" si="30"/>
      </c>
      <c r="AG19" s="47">
        <f ca="1" t="shared" si="31"/>
      </c>
      <c r="AH19" s="48">
        <f t="shared" si="32"/>
      </c>
      <c r="AI19" s="49">
        <f ca="1" t="shared" si="33"/>
      </c>
      <c r="AJ19" s="46">
        <f t="shared" si="34"/>
      </c>
      <c r="AK19" s="47">
        <f ca="1" t="shared" si="35"/>
      </c>
      <c r="AL19" s="48">
        <f t="shared" si="36"/>
      </c>
      <c r="AM19" s="49">
        <f ca="1" t="shared" si="37"/>
      </c>
      <c r="AN19" s="46">
        <f t="shared" si="38"/>
      </c>
      <c r="AO19" s="46">
        <f t="shared" si="39"/>
      </c>
    </row>
    <row r="20" spans="1:41" s="50" customFormat="1" ht="27" customHeight="1">
      <c r="A20" s="85"/>
      <c r="B20" s="57">
        <f t="shared" si="0"/>
      </c>
      <c r="C20" s="51">
        <f ca="1" t="shared" si="1"/>
      </c>
      <c r="D20" s="53">
        <f ca="1" t="shared" si="2"/>
      </c>
      <c r="E20" s="51">
        <f ca="1" t="shared" si="3"/>
      </c>
      <c r="F20" s="51">
        <f ca="1" t="shared" si="4"/>
      </c>
      <c r="G20" s="52">
        <f ca="1" t="shared" si="5"/>
      </c>
      <c r="H20" s="51">
        <f ca="1" t="shared" si="6"/>
      </c>
      <c r="I20" s="59">
        <f ca="1" t="shared" si="7"/>
      </c>
      <c r="J20" s="60">
        <f ca="1" t="shared" si="8"/>
      </c>
      <c r="K20" s="59">
        <f ca="1" t="shared" si="9"/>
      </c>
      <c r="L20" s="59">
        <f ca="1" t="shared" si="10"/>
      </c>
      <c r="M20" s="61">
        <f ca="1" t="shared" si="11"/>
      </c>
      <c r="N20" s="48">
        <f t="shared" si="12"/>
      </c>
      <c r="O20" s="49">
        <f ca="1" t="shared" si="13"/>
      </c>
      <c r="P20" s="46">
        <f t="shared" si="14"/>
      </c>
      <c r="Q20" s="47">
        <f ca="1" t="shared" si="15"/>
      </c>
      <c r="R20" s="48">
        <f t="shared" si="16"/>
      </c>
      <c r="S20" s="49">
        <f ca="1" t="shared" si="17"/>
      </c>
      <c r="T20" s="46">
        <f t="shared" si="18"/>
      </c>
      <c r="U20" s="47">
        <f ca="1" t="shared" si="19"/>
      </c>
      <c r="V20" s="48">
        <f t="shared" si="20"/>
      </c>
      <c r="W20" s="49">
        <f ca="1" t="shared" si="21"/>
      </c>
      <c r="X20" s="46">
        <f t="shared" si="22"/>
      </c>
      <c r="Y20" s="47">
        <f ca="1" t="shared" si="23"/>
      </c>
      <c r="Z20" s="48">
        <f t="shared" si="24"/>
      </c>
      <c r="AA20" s="49">
        <f ca="1" t="shared" si="25"/>
      </c>
      <c r="AB20" s="46">
        <f t="shared" si="26"/>
      </c>
      <c r="AC20" s="47">
        <f ca="1" t="shared" si="27"/>
      </c>
      <c r="AD20" s="48">
        <f t="shared" si="28"/>
      </c>
      <c r="AE20" s="49">
        <f ca="1" t="shared" si="29"/>
      </c>
      <c r="AF20" s="46">
        <f t="shared" si="30"/>
      </c>
      <c r="AG20" s="47">
        <f ca="1" t="shared" si="31"/>
      </c>
      <c r="AH20" s="48">
        <f t="shared" si="32"/>
      </c>
      <c r="AI20" s="49">
        <f ca="1" t="shared" si="33"/>
      </c>
      <c r="AJ20" s="46">
        <f t="shared" si="34"/>
      </c>
      <c r="AK20" s="47">
        <f ca="1" t="shared" si="35"/>
      </c>
      <c r="AL20" s="48">
        <f t="shared" si="36"/>
      </c>
      <c r="AM20" s="49">
        <f ca="1" t="shared" si="37"/>
      </c>
      <c r="AN20" s="46">
        <f t="shared" si="38"/>
      </c>
      <c r="AO20" s="46">
        <f t="shared" si="39"/>
      </c>
    </row>
    <row r="21" spans="1:41" s="50" customFormat="1" ht="27" customHeight="1">
      <c r="A21" s="85"/>
      <c r="B21" s="57">
        <f t="shared" si="0"/>
      </c>
      <c r="C21" s="51">
        <f ca="1" t="shared" si="1"/>
      </c>
      <c r="D21" s="53">
        <f ca="1" t="shared" si="2"/>
      </c>
      <c r="E21" s="51">
        <f ca="1" t="shared" si="3"/>
      </c>
      <c r="F21" s="51">
        <f ca="1" t="shared" si="4"/>
      </c>
      <c r="G21" s="52">
        <f ca="1" t="shared" si="5"/>
      </c>
      <c r="H21" s="51">
        <f ca="1" t="shared" si="6"/>
      </c>
      <c r="I21" s="59">
        <f ca="1" t="shared" si="7"/>
      </c>
      <c r="J21" s="60">
        <f ca="1" t="shared" si="8"/>
      </c>
      <c r="K21" s="59">
        <f ca="1" t="shared" si="9"/>
      </c>
      <c r="L21" s="59">
        <f ca="1" t="shared" si="10"/>
      </c>
      <c r="M21" s="61">
        <f ca="1" t="shared" si="11"/>
      </c>
      <c r="N21" s="48">
        <f t="shared" si="12"/>
      </c>
      <c r="O21" s="49">
        <f ca="1" t="shared" si="13"/>
      </c>
      <c r="P21" s="46">
        <f t="shared" si="14"/>
      </c>
      <c r="Q21" s="47">
        <f ca="1" t="shared" si="15"/>
      </c>
      <c r="R21" s="48">
        <f t="shared" si="16"/>
      </c>
      <c r="S21" s="49">
        <f ca="1" t="shared" si="17"/>
      </c>
      <c r="T21" s="46">
        <f t="shared" si="18"/>
      </c>
      <c r="U21" s="47">
        <f ca="1" t="shared" si="19"/>
      </c>
      <c r="V21" s="48">
        <f t="shared" si="20"/>
      </c>
      <c r="W21" s="49">
        <f ca="1" t="shared" si="21"/>
      </c>
      <c r="X21" s="46">
        <f t="shared" si="22"/>
      </c>
      <c r="Y21" s="47">
        <f ca="1" t="shared" si="23"/>
      </c>
      <c r="Z21" s="48">
        <f t="shared" si="24"/>
      </c>
      <c r="AA21" s="49">
        <f ca="1" t="shared" si="25"/>
      </c>
      <c r="AB21" s="46">
        <f t="shared" si="26"/>
      </c>
      <c r="AC21" s="47">
        <f ca="1" t="shared" si="27"/>
      </c>
      <c r="AD21" s="48">
        <f t="shared" si="28"/>
      </c>
      <c r="AE21" s="49">
        <f ca="1" t="shared" si="29"/>
      </c>
      <c r="AF21" s="46">
        <f t="shared" si="30"/>
      </c>
      <c r="AG21" s="47">
        <f ca="1" t="shared" si="31"/>
      </c>
      <c r="AH21" s="48">
        <f t="shared" si="32"/>
      </c>
      <c r="AI21" s="49">
        <f ca="1" t="shared" si="33"/>
      </c>
      <c r="AJ21" s="46">
        <f t="shared" si="34"/>
      </c>
      <c r="AK21" s="47">
        <f ca="1" t="shared" si="35"/>
      </c>
      <c r="AL21" s="48">
        <f t="shared" si="36"/>
      </c>
      <c r="AM21" s="49">
        <f ca="1" t="shared" si="37"/>
      </c>
      <c r="AN21" s="46">
        <f t="shared" si="38"/>
      </c>
      <c r="AO21" s="46">
        <f t="shared" si="39"/>
      </c>
    </row>
    <row r="22" spans="1:41" s="50" customFormat="1" ht="27" customHeight="1">
      <c r="A22" s="85"/>
      <c r="B22" s="57">
        <f t="shared" si="0"/>
      </c>
      <c r="C22" s="51">
        <f ca="1" t="shared" si="1"/>
      </c>
      <c r="D22" s="53">
        <f ca="1" t="shared" si="2"/>
      </c>
      <c r="E22" s="51">
        <f ca="1" t="shared" si="3"/>
      </c>
      <c r="F22" s="51">
        <f ca="1" t="shared" si="4"/>
      </c>
      <c r="G22" s="52">
        <f ca="1" t="shared" si="5"/>
      </c>
      <c r="H22" s="51">
        <f ca="1" t="shared" si="6"/>
      </c>
      <c r="I22" s="59">
        <f ca="1" t="shared" si="7"/>
      </c>
      <c r="J22" s="60">
        <f ca="1" t="shared" si="8"/>
      </c>
      <c r="K22" s="59">
        <f ca="1" t="shared" si="9"/>
      </c>
      <c r="L22" s="59">
        <f ca="1" t="shared" si="10"/>
      </c>
      <c r="M22" s="61">
        <f ca="1" t="shared" si="11"/>
      </c>
      <c r="N22" s="48">
        <f t="shared" si="12"/>
      </c>
      <c r="O22" s="49">
        <f ca="1" t="shared" si="13"/>
      </c>
      <c r="P22" s="46">
        <f t="shared" si="14"/>
      </c>
      <c r="Q22" s="47">
        <f ca="1" t="shared" si="15"/>
      </c>
      <c r="R22" s="48">
        <f t="shared" si="16"/>
      </c>
      <c r="S22" s="49">
        <f ca="1" t="shared" si="17"/>
      </c>
      <c r="T22" s="46">
        <f t="shared" si="18"/>
      </c>
      <c r="U22" s="47">
        <f ca="1" t="shared" si="19"/>
      </c>
      <c r="V22" s="48">
        <f t="shared" si="20"/>
      </c>
      <c r="W22" s="49">
        <f ca="1" t="shared" si="21"/>
      </c>
      <c r="X22" s="46">
        <f t="shared" si="22"/>
      </c>
      <c r="Y22" s="47">
        <f ca="1" t="shared" si="23"/>
      </c>
      <c r="Z22" s="48">
        <f t="shared" si="24"/>
      </c>
      <c r="AA22" s="49">
        <f ca="1" t="shared" si="25"/>
      </c>
      <c r="AB22" s="46">
        <f t="shared" si="26"/>
      </c>
      <c r="AC22" s="47">
        <f ca="1" t="shared" si="27"/>
      </c>
      <c r="AD22" s="48">
        <f t="shared" si="28"/>
      </c>
      <c r="AE22" s="49">
        <f ca="1" t="shared" si="29"/>
      </c>
      <c r="AF22" s="46">
        <f t="shared" si="30"/>
      </c>
      <c r="AG22" s="47">
        <f ca="1" t="shared" si="31"/>
      </c>
      <c r="AH22" s="48">
        <f t="shared" si="32"/>
      </c>
      <c r="AI22" s="49">
        <f ca="1" t="shared" si="33"/>
      </c>
      <c r="AJ22" s="46">
        <f t="shared" si="34"/>
      </c>
      <c r="AK22" s="47">
        <f ca="1" t="shared" si="35"/>
      </c>
      <c r="AL22" s="48">
        <f t="shared" si="36"/>
      </c>
      <c r="AM22" s="49">
        <f ca="1" t="shared" si="37"/>
      </c>
      <c r="AN22" s="46">
        <f t="shared" si="38"/>
      </c>
      <c r="AO22" s="46">
        <f t="shared" si="39"/>
      </c>
    </row>
    <row r="23" spans="1:41" s="50" customFormat="1" ht="27" customHeight="1">
      <c r="A23" s="85"/>
      <c r="B23" s="57">
        <f t="shared" si="0"/>
      </c>
      <c r="C23" s="51">
        <f ca="1" t="shared" si="1"/>
      </c>
      <c r="D23" s="53">
        <f ca="1" t="shared" si="2"/>
      </c>
      <c r="E23" s="51">
        <f ca="1" t="shared" si="3"/>
      </c>
      <c r="F23" s="51">
        <f ca="1" t="shared" si="4"/>
      </c>
      <c r="G23" s="52">
        <f ca="1" t="shared" si="5"/>
      </c>
      <c r="H23" s="51">
        <f ca="1" t="shared" si="6"/>
      </c>
      <c r="I23" s="59">
        <f ca="1" t="shared" si="7"/>
      </c>
      <c r="J23" s="60">
        <f ca="1" t="shared" si="8"/>
      </c>
      <c r="K23" s="59">
        <f ca="1" t="shared" si="9"/>
      </c>
      <c r="L23" s="59">
        <f ca="1" t="shared" si="10"/>
      </c>
      <c r="M23" s="61">
        <f ca="1" t="shared" si="11"/>
      </c>
      <c r="N23" s="48">
        <f t="shared" si="12"/>
      </c>
      <c r="O23" s="49">
        <f ca="1" t="shared" si="13"/>
      </c>
      <c r="P23" s="46">
        <f t="shared" si="14"/>
      </c>
      <c r="Q23" s="47">
        <f ca="1" t="shared" si="15"/>
      </c>
      <c r="R23" s="48">
        <f t="shared" si="16"/>
      </c>
      <c r="S23" s="49">
        <f ca="1" t="shared" si="17"/>
      </c>
      <c r="T23" s="46">
        <f t="shared" si="18"/>
      </c>
      <c r="U23" s="47">
        <f ca="1" t="shared" si="19"/>
      </c>
      <c r="V23" s="48">
        <f t="shared" si="20"/>
      </c>
      <c r="W23" s="49">
        <f ca="1" t="shared" si="21"/>
      </c>
      <c r="X23" s="46">
        <f t="shared" si="22"/>
      </c>
      <c r="Y23" s="47">
        <f ca="1" t="shared" si="23"/>
      </c>
      <c r="Z23" s="48">
        <f t="shared" si="24"/>
      </c>
      <c r="AA23" s="49">
        <f ca="1" t="shared" si="25"/>
      </c>
      <c r="AB23" s="46">
        <f t="shared" si="26"/>
      </c>
      <c r="AC23" s="47">
        <f ca="1" t="shared" si="27"/>
      </c>
      <c r="AD23" s="48">
        <f t="shared" si="28"/>
      </c>
      <c r="AE23" s="49">
        <f ca="1" t="shared" si="29"/>
      </c>
      <c r="AF23" s="46">
        <f t="shared" si="30"/>
      </c>
      <c r="AG23" s="47">
        <f ca="1" t="shared" si="31"/>
      </c>
      <c r="AH23" s="48">
        <f t="shared" si="32"/>
      </c>
      <c r="AI23" s="49">
        <f ca="1" t="shared" si="33"/>
      </c>
      <c r="AJ23" s="46">
        <f t="shared" si="34"/>
      </c>
      <c r="AK23" s="47">
        <f ca="1" t="shared" si="35"/>
      </c>
      <c r="AL23" s="48">
        <f t="shared" si="36"/>
      </c>
      <c r="AM23" s="49">
        <f ca="1" t="shared" si="37"/>
      </c>
      <c r="AN23" s="46">
        <f t="shared" si="38"/>
      </c>
      <c r="AO23" s="46">
        <f t="shared" si="39"/>
      </c>
    </row>
    <row r="24" spans="1:41" s="50" customFormat="1" ht="27" customHeight="1">
      <c r="A24" s="85"/>
      <c r="B24" s="57">
        <f t="shared" si="0"/>
      </c>
      <c r="C24" s="51">
        <f ca="1" t="shared" si="1"/>
      </c>
      <c r="D24" s="53">
        <f ca="1" t="shared" si="2"/>
      </c>
      <c r="E24" s="51">
        <f ca="1" t="shared" si="3"/>
      </c>
      <c r="F24" s="51">
        <f ca="1" t="shared" si="4"/>
      </c>
      <c r="G24" s="52">
        <f ca="1" t="shared" si="5"/>
      </c>
      <c r="H24" s="51">
        <f ca="1" t="shared" si="6"/>
      </c>
      <c r="I24" s="59">
        <f ca="1" t="shared" si="7"/>
      </c>
      <c r="J24" s="60">
        <f ca="1" t="shared" si="8"/>
      </c>
      <c r="K24" s="59">
        <f ca="1" t="shared" si="9"/>
      </c>
      <c r="L24" s="59">
        <f ca="1" t="shared" si="10"/>
      </c>
      <c r="M24" s="61">
        <f ca="1" t="shared" si="11"/>
      </c>
      <c r="N24" s="48">
        <f t="shared" si="12"/>
      </c>
      <c r="O24" s="49">
        <f ca="1" t="shared" si="13"/>
      </c>
      <c r="P24" s="46">
        <f t="shared" si="14"/>
      </c>
      <c r="Q24" s="47">
        <f ca="1" t="shared" si="15"/>
      </c>
      <c r="R24" s="48">
        <f t="shared" si="16"/>
      </c>
      <c r="S24" s="49">
        <f ca="1" t="shared" si="17"/>
      </c>
      <c r="T24" s="46">
        <f t="shared" si="18"/>
      </c>
      <c r="U24" s="47">
        <f ca="1" t="shared" si="19"/>
      </c>
      <c r="V24" s="48">
        <f t="shared" si="20"/>
      </c>
      <c r="W24" s="49">
        <f ca="1" t="shared" si="21"/>
      </c>
      <c r="X24" s="46">
        <f t="shared" si="22"/>
      </c>
      <c r="Y24" s="47">
        <f ca="1" t="shared" si="23"/>
      </c>
      <c r="Z24" s="48">
        <f t="shared" si="24"/>
      </c>
      <c r="AA24" s="49">
        <f ca="1" t="shared" si="25"/>
      </c>
      <c r="AB24" s="46">
        <f t="shared" si="26"/>
      </c>
      <c r="AC24" s="47">
        <f ca="1" t="shared" si="27"/>
      </c>
      <c r="AD24" s="48">
        <f t="shared" si="28"/>
      </c>
      <c r="AE24" s="49">
        <f ca="1" t="shared" si="29"/>
      </c>
      <c r="AF24" s="46">
        <f t="shared" si="30"/>
      </c>
      <c r="AG24" s="47">
        <f ca="1" t="shared" si="31"/>
      </c>
      <c r="AH24" s="48">
        <f t="shared" si="32"/>
      </c>
      <c r="AI24" s="49">
        <f ca="1" t="shared" si="33"/>
      </c>
      <c r="AJ24" s="46">
        <f t="shared" si="34"/>
      </c>
      <c r="AK24" s="47">
        <f ca="1" t="shared" si="35"/>
      </c>
      <c r="AL24" s="48">
        <f t="shared" si="36"/>
      </c>
      <c r="AM24" s="49">
        <f ca="1" t="shared" si="37"/>
      </c>
      <c r="AN24" s="46">
        <f t="shared" si="38"/>
      </c>
      <c r="AO24" s="46">
        <f t="shared" si="39"/>
      </c>
    </row>
    <row r="25" spans="1:41" s="50" customFormat="1" ht="27" customHeight="1">
      <c r="A25" s="85"/>
      <c r="B25" s="57">
        <f t="shared" si="0"/>
      </c>
      <c r="C25" s="51">
        <f ca="1" t="shared" si="1"/>
      </c>
      <c r="D25" s="53">
        <f ca="1" t="shared" si="2"/>
      </c>
      <c r="E25" s="51">
        <f ca="1" t="shared" si="3"/>
      </c>
      <c r="F25" s="51">
        <f ca="1" t="shared" si="4"/>
      </c>
      <c r="G25" s="52">
        <f ca="1" t="shared" si="5"/>
      </c>
      <c r="H25" s="51">
        <f ca="1" t="shared" si="6"/>
      </c>
      <c r="I25" s="59">
        <f ca="1" t="shared" si="7"/>
      </c>
      <c r="J25" s="60">
        <f ca="1" t="shared" si="8"/>
      </c>
      <c r="K25" s="59">
        <f ca="1" t="shared" si="9"/>
      </c>
      <c r="L25" s="59">
        <f ca="1" t="shared" si="10"/>
      </c>
      <c r="M25" s="61">
        <f ca="1" t="shared" si="11"/>
      </c>
      <c r="N25" s="48">
        <f t="shared" si="12"/>
      </c>
      <c r="O25" s="49">
        <f ca="1" t="shared" si="13"/>
      </c>
      <c r="P25" s="46">
        <f t="shared" si="14"/>
      </c>
      <c r="Q25" s="47">
        <f ca="1" t="shared" si="15"/>
      </c>
      <c r="R25" s="48">
        <f t="shared" si="16"/>
      </c>
      <c r="S25" s="49">
        <f ca="1" t="shared" si="17"/>
      </c>
      <c r="T25" s="46">
        <f t="shared" si="18"/>
      </c>
      <c r="U25" s="47">
        <f ca="1" t="shared" si="19"/>
      </c>
      <c r="V25" s="48">
        <f t="shared" si="20"/>
      </c>
      <c r="W25" s="49">
        <f ca="1" t="shared" si="21"/>
      </c>
      <c r="X25" s="46">
        <f t="shared" si="22"/>
      </c>
      <c r="Y25" s="47">
        <f ca="1" t="shared" si="23"/>
      </c>
      <c r="Z25" s="48">
        <f t="shared" si="24"/>
      </c>
      <c r="AA25" s="49">
        <f ca="1" t="shared" si="25"/>
      </c>
      <c r="AB25" s="46">
        <f t="shared" si="26"/>
      </c>
      <c r="AC25" s="47">
        <f ca="1" t="shared" si="27"/>
      </c>
      <c r="AD25" s="48">
        <f t="shared" si="28"/>
      </c>
      <c r="AE25" s="49">
        <f ca="1" t="shared" si="29"/>
      </c>
      <c r="AF25" s="46">
        <f t="shared" si="30"/>
      </c>
      <c r="AG25" s="47">
        <f ca="1" t="shared" si="31"/>
      </c>
      <c r="AH25" s="48">
        <f t="shared" si="32"/>
      </c>
      <c r="AI25" s="49">
        <f ca="1" t="shared" si="33"/>
      </c>
      <c r="AJ25" s="46">
        <f t="shared" si="34"/>
      </c>
      <c r="AK25" s="47">
        <f ca="1" t="shared" si="35"/>
      </c>
      <c r="AL25" s="48">
        <f t="shared" si="36"/>
      </c>
      <c r="AM25" s="49">
        <f ca="1" t="shared" si="37"/>
      </c>
      <c r="AN25" s="46">
        <f t="shared" si="38"/>
      </c>
      <c r="AO25" s="46">
        <f t="shared" si="39"/>
      </c>
    </row>
    <row r="26" spans="1:41" s="50" customFormat="1" ht="27" customHeight="1">
      <c r="A26" s="85"/>
      <c r="B26" s="57">
        <f t="shared" si="0"/>
      </c>
      <c r="C26" s="51">
        <f ca="1" t="shared" si="1"/>
      </c>
      <c r="D26" s="53">
        <f ca="1" t="shared" si="2"/>
      </c>
      <c r="E26" s="51">
        <f ca="1" t="shared" si="3"/>
      </c>
      <c r="F26" s="51">
        <f ca="1" t="shared" si="4"/>
      </c>
      <c r="G26" s="52">
        <f ca="1" t="shared" si="5"/>
      </c>
      <c r="H26" s="51">
        <f ca="1" t="shared" si="6"/>
      </c>
      <c r="I26" s="59">
        <f ca="1" t="shared" si="7"/>
      </c>
      <c r="J26" s="60">
        <f ca="1" t="shared" si="8"/>
      </c>
      <c r="K26" s="59">
        <f ca="1" t="shared" si="9"/>
      </c>
      <c r="L26" s="59">
        <f ca="1" t="shared" si="10"/>
      </c>
      <c r="M26" s="61">
        <f ca="1" t="shared" si="11"/>
      </c>
      <c r="N26" s="48">
        <f t="shared" si="12"/>
      </c>
      <c r="O26" s="49">
        <f ca="1" t="shared" si="13"/>
      </c>
      <c r="P26" s="46">
        <f t="shared" si="14"/>
      </c>
      <c r="Q26" s="47">
        <f ca="1" t="shared" si="15"/>
      </c>
      <c r="R26" s="48">
        <f t="shared" si="16"/>
      </c>
      <c r="S26" s="49">
        <f ca="1" t="shared" si="17"/>
      </c>
      <c r="T26" s="46">
        <f t="shared" si="18"/>
      </c>
      <c r="U26" s="47">
        <f ca="1" t="shared" si="19"/>
      </c>
      <c r="V26" s="48">
        <f t="shared" si="20"/>
      </c>
      <c r="W26" s="49">
        <f ca="1" t="shared" si="21"/>
      </c>
      <c r="X26" s="46">
        <f t="shared" si="22"/>
      </c>
      <c r="Y26" s="47">
        <f ca="1" t="shared" si="23"/>
      </c>
      <c r="Z26" s="48">
        <f t="shared" si="24"/>
      </c>
      <c r="AA26" s="49">
        <f ca="1" t="shared" si="25"/>
      </c>
      <c r="AB26" s="46">
        <f t="shared" si="26"/>
      </c>
      <c r="AC26" s="47">
        <f ca="1" t="shared" si="27"/>
      </c>
      <c r="AD26" s="48">
        <f t="shared" si="28"/>
      </c>
      <c r="AE26" s="49">
        <f ca="1" t="shared" si="29"/>
      </c>
      <c r="AF26" s="46">
        <f t="shared" si="30"/>
      </c>
      <c r="AG26" s="47">
        <f ca="1" t="shared" si="31"/>
      </c>
      <c r="AH26" s="48">
        <f t="shared" si="32"/>
      </c>
      <c r="AI26" s="49">
        <f ca="1" t="shared" si="33"/>
      </c>
      <c r="AJ26" s="46">
        <f t="shared" si="34"/>
      </c>
      <c r="AK26" s="47">
        <f ca="1" t="shared" si="35"/>
      </c>
      <c r="AL26" s="48">
        <f t="shared" si="36"/>
      </c>
      <c r="AM26" s="49">
        <f ca="1" t="shared" si="37"/>
      </c>
      <c r="AN26" s="46">
        <f t="shared" si="38"/>
      </c>
      <c r="AO26" s="46">
        <f t="shared" si="39"/>
      </c>
    </row>
    <row r="27" spans="1:41" s="50" customFormat="1" ht="27" customHeight="1">
      <c r="A27" s="85"/>
      <c r="B27" s="57">
        <f t="shared" si="0"/>
      </c>
      <c r="C27" s="51">
        <f ca="1" t="shared" si="1"/>
      </c>
      <c r="D27" s="53">
        <f ca="1" t="shared" si="2"/>
      </c>
      <c r="E27" s="51">
        <f ca="1" t="shared" si="3"/>
      </c>
      <c r="F27" s="51">
        <f ca="1" t="shared" si="4"/>
      </c>
      <c r="G27" s="52">
        <f ca="1" t="shared" si="5"/>
      </c>
      <c r="H27" s="51">
        <f ca="1" t="shared" si="6"/>
      </c>
      <c r="I27" s="59">
        <f ca="1" t="shared" si="7"/>
      </c>
      <c r="J27" s="60">
        <f ca="1" t="shared" si="8"/>
      </c>
      <c r="K27" s="59">
        <f ca="1" t="shared" si="9"/>
      </c>
      <c r="L27" s="59">
        <f ca="1" t="shared" si="10"/>
      </c>
      <c r="M27" s="61">
        <f ca="1" t="shared" si="11"/>
      </c>
      <c r="N27" s="48">
        <f t="shared" si="12"/>
      </c>
      <c r="O27" s="49">
        <f ca="1" t="shared" si="13"/>
      </c>
      <c r="P27" s="46">
        <f t="shared" si="14"/>
      </c>
      <c r="Q27" s="47">
        <f ca="1" t="shared" si="15"/>
      </c>
      <c r="R27" s="48">
        <f t="shared" si="16"/>
      </c>
      <c r="S27" s="49">
        <f ca="1" t="shared" si="17"/>
      </c>
      <c r="T27" s="46">
        <f t="shared" si="18"/>
      </c>
      <c r="U27" s="47">
        <f ca="1" t="shared" si="19"/>
      </c>
      <c r="V27" s="48">
        <f t="shared" si="20"/>
      </c>
      <c r="W27" s="49">
        <f ca="1" t="shared" si="21"/>
      </c>
      <c r="X27" s="46">
        <f t="shared" si="22"/>
      </c>
      <c r="Y27" s="47">
        <f ca="1" t="shared" si="23"/>
      </c>
      <c r="Z27" s="48">
        <f t="shared" si="24"/>
      </c>
      <c r="AA27" s="49">
        <f ca="1" t="shared" si="25"/>
      </c>
      <c r="AB27" s="46">
        <f t="shared" si="26"/>
      </c>
      <c r="AC27" s="47">
        <f ca="1" t="shared" si="27"/>
      </c>
      <c r="AD27" s="48">
        <f t="shared" si="28"/>
      </c>
      <c r="AE27" s="49">
        <f ca="1" t="shared" si="29"/>
      </c>
      <c r="AF27" s="46">
        <f t="shared" si="30"/>
      </c>
      <c r="AG27" s="47">
        <f ca="1" t="shared" si="31"/>
      </c>
      <c r="AH27" s="48">
        <f t="shared" si="32"/>
      </c>
      <c r="AI27" s="49">
        <f ca="1" t="shared" si="33"/>
      </c>
      <c r="AJ27" s="46">
        <f t="shared" si="34"/>
      </c>
      <c r="AK27" s="47">
        <f ca="1" t="shared" si="35"/>
      </c>
      <c r="AL27" s="48">
        <f t="shared" si="36"/>
      </c>
      <c r="AM27" s="49">
        <f ca="1" t="shared" si="37"/>
      </c>
      <c r="AN27" s="46">
        <f t="shared" si="38"/>
      </c>
      <c r="AO27" s="46">
        <f t="shared" si="39"/>
      </c>
    </row>
    <row r="28" spans="1:41" s="50" customFormat="1" ht="27" customHeight="1">
      <c r="A28" s="85"/>
      <c r="B28" s="57">
        <f t="shared" si="0"/>
      </c>
      <c r="C28" s="51">
        <f ca="1" t="shared" si="1"/>
      </c>
      <c r="D28" s="53">
        <f ca="1" t="shared" si="2"/>
      </c>
      <c r="E28" s="51">
        <f ca="1" t="shared" si="3"/>
      </c>
      <c r="F28" s="51">
        <f ca="1" t="shared" si="4"/>
      </c>
      <c r="G28" s="52">
        <f ca="1" t="shared" si="5"/>
      </c>
      <c r="H28" s="51">
        <f ca="1" t="shared" si="6"/>
      </c>
      <c r="I28" s="59">
        <f ca="1" t="shared" si="7"/>
      </c>
      <c r="J28" s="60">
        <f ca="1" t="shared" si="8"/>
      </c>
      <c r="K28" s="59">
        <f ca="1" t="shared" si="9"/>
      </c>
      <c r="L28" s="59">
        <f ca="1" t="shared" si="10"/>
      </c>
      <c r="M28" s="61">
        <f ca="1" t="shared" si="11"/>
      </c>
      <c r="N28" s="48">
        <f t="shared" si="12"/>
      </c>
      <c r="O28" s="49">
        <f ca="1" t="shared" si="13"/>
      </c>
      <c r="P28" s="46">
        <f t="shared" si="14"/>
      </c>
      <c r="Q28" s="47">
        <f ca="1" t="shared" si="15"/>
      </c>
      <c r="R28" s="48">
        <f t="shared" si="16"/>
      </c>
      <c r="S28" s="49">
        <f ca="1" t="shared" si="17"/>
      </c>
      <c r="T28" s="46">
        <f t="shared" si="18"/>
      </c>
      <c r="U28" s="47">
        <f ca="1" t="shared" si="19"/>
      </c>
      <c r="V28" s="48">
        <f t="shared" si="20"/>
      </c>
      <c r="W28" s="49">
        <f ca="1" t="shared" si="21"/>
      </c>
      <c r="X28" s="46">
        <f t="shared" si="22"/>
      </c>
      <c r="Y28" s="47">
        <f ca="1" t="shared" si="23"/>
      </c>
      <c r="Z28" s="48">
        <f t="shared" si="24"/>
      </c>
      <c r="AA28" s="49">
        <f ca="1" t="shared" si="25"/>
      </c>
      <c r="AB28" s="46">
        <f t="shared" si="26"/>
      </c>
      <c r="AC28" s="47">
        <f ca="1" t="shared" si="27"/>
      </c>
      <c r="AD28" s="48">
        <f t="shared" si="28"/>
      </c>
      <c r="AE28" s="49">
        <f ca="1" t="shared" si="29"/>
      </c>
      <c r="AF28" s="46">
        <f t="shared" si="30"/>
      </c>
      <c r="AG28" s="47">
        <f ca="1" t="shared" si="31"/>
      </c>
      <c r="AH28" s="48">
        <f t="shared" si="32"/>
      </c>
      <c r="AI28" s="49">
        <f ca="1" t="shared" si="33"/>
      </c>
      <c r="AJ28" s="46">
        <f t="shared" si="34"/>
      </c>
      <c r="AK28" s="47">
        <f ca="1" t="shared" si="35"/>
      </c>
      <c r="AL28" s="48">
        <f t="shared" si="36"/>
      </c>
      <c r="AM28" s="49">
        <f ca="1" t="shared" si="37"/>
      </c>
      <c r="AN28" s="46">
        <f t="shared" si="38"/>
      </c>
      <c r="AO28" s="46">
        <f t="shared" si="39"/>
      </c>
    </row>
    <row r="29" spans="1:41" s="50" customFormat="1" ht="27" customHeight="1">
      <c r="A29" s="85"/>
      <c r="B29" s="57">
        <f t="shared" si="0"/>
      </c>
      <c r="C29" s="51">
        <f ca="1" t="shared" si="1"/>
      </c>
      <c r="D29" s="53">
        <f ca="1" t="shared" si="2"/>
      </c>
      <c r="E29" s="51">
        <f ca="1" t="shared" si="3"/>
      </c>
      <c r="F29" s="51">
        <f ca="1" t="shared" si="4"/>
      </c>
      <c r="G29" s="52">
        <f ca="1" t="shared" si="5"/>
      </c>
      <c r="H29" s="51">
        <f ca="1" t="shared" si="6"/>
      </c>
      <c r="I29" s="59">
        <f ca="1" t="shared" si="7"/>
      </c>
      <c r="J29" s="60">
        <f ca="1" t="shared" si="8"/>
      </c>
      <c r="K29" s="59">
        <f ca="1" t="shared" si="9"/>
      </c>
      <c r="L29" s="59">
        <f ca="1" t="shared" si="10"/>
      </c>
      <c r="M29" s="61">
        <f ca="1" t="shared" si="11"/>
      </c>
      <c r="N29" s="48">
        <f t="shared" si="12"/>
      </c>
      <c r="O29" s="49">
        <f ca="1" t="shared" si="13"/>
      </c>
      <c r="P29" s="46">
        <f t="shared" si="14"/>
      </c>
      <c r="Q29" s="47">
        <f ca="1" t="shared" si="15"/>
      </c>
      <c r="R29" s="48">
        <f t="shared" si="16"/>
      </c>
      <c r="S29" s="49">
        <f ca="1" t="shared" si="17"/>
      </c>
      <c r="T29" s="46">
        <f t="shared" si="18"/>
      </c>
      <c r="U29" s="47">
        <f ca="1" t="shared" si="19"/>
      </c>
      <c r="V29" s="48">
        <f t="shared" si="20"/>
      </c>
      <c r="W29" s="49">
        <f ca="1" t="shared" si="21"/>
      </c>
      <c r="X29" s="46">
        <f t="shared" si="22"/>
      </c>
      <c r="Y29" s="47">
        <f ca="1" t="shared" si="23"/>
      </c>
      <c r="Z29" s="48">
        <f t="shared" si="24"/>
      </c>
      <c r="AA29" s="49">
        <f ca="1" t="shared" si="25"/>
      </c>
      <c r="AB29" s="46">
        <f t="shared" si="26"/>
      </c>
      <c r="AC29" s="47">
        <f ca="1" t="shared" si="27"/>
      </c>
      <c r="AD29" s="48">
        <f t="shared" si="28"/>
      </c>
      <c r="AE29" s="49">
        <f ca="1" t="shared" si="29"/>
      </c>
      <c r="AF29" s="46">
        <f t="shared" si="30"/>
      </c>
      <c r="AG29" s="47">
        <f ca="1" t="shared" si="31"/>
      </c>
      <c r="AH29" s="48">
        <f t="shared" si="32"/>
      </c>
      <c r="AI29" s="49">
        <f ca="1" t="shared" si="33"/>
      </c>
      <c r="AJ29" s="46">
        <f t="shared" si="34"/>
      </c>
      <c r="AK29" s="47">
        <f ca="1" t="shared" si="35"/>
      </c>
      <c r="AL29" s="48">
        <f t="shared" si="36"/>
      </c>
      <c r="AM29" s="49">
        <f ca="1" t="shared" si="37"/>
      </c>
      <c r="AN29" s="46">
        <f t="shared" si="38"/>
      </c>
      <c r="AO29" s="46">
        <f t="shared" si="39"/>
      </c>
    </row>
    <row r="30" spans="1:41" s="50" customFormat="1" ht="27" customHeight="1">
      <c r="A30" s="85"/>
      <c r="B30" s="57">
        <f t="shared" si="0"/>
      </c>
      <c r="C30" s="51">
        <f ca="1" t="shared" si="1"/>
      </c>
      <c r="D30" s="53">
        <f ca="1" t="shared" si="2"/>
      </c>
      <c r="E30" s="51">
        <f ca="1" t="shared" si="3"/>
      </c>
      <c r="F30" s="51">
        <f ca="1" t="shared" si="4"/>
      </c>
      <c r="G30" s="52">
        <f ca="1" t="shared" si="5"/>
      </c>
      <c r="H30" s="51">
        <f ca="1" t="shared" si="6"/>
      </c>
      <c r="I30" s="59">
        <f ca="1" t="shared" si="7"/>
      </c>
      <c r="J30" s="60">
        <f ca="1" t="shared" si="8"/>
      </c>
      <c r="K30" s="59">
        <f ca="1" t="shared" si="9"/>
      </c>
      <c r="L30" s="59">
        <f ca="1" t="shared" si="10"/>
      </c>
      <c r="M30" s="61">
        <f ca="1" t="shared" si="11"/>
      </c>
      <c r="N30" s="48">
        <f t="shared" si="12"/>
      </c>
      <c r="O30" s="49">
        <f ca="1" t="shared" si="13"/>
      </c>
      <c r="P30" s="46">
        <f t="shared" si="14"/>
      </c>
      <c r="Q30" s="47">
        <f ca="1" t="shared" si="15"/>
      </c>
      <c r="R30" s="48">
        <f t="shared" si="16"/>
      </c>
      <c r="S30" s="49">
        <f ca="1" t="shared" si="17"/>
      </c>
      <c r="T30" s="46">
        <f t="shared" si="18"/>
      </c>
      <c r="U30" s="47">
        <f ca="1" t="shared" si="19"/>
      </c>
      <c r="V30" s="48">
        <f t="shared" si="20"/>
      </c>
      <c r="W30" s="49">
        <f ca="1" t="shared" si="21"/>
      </c>
      <c r="X30" s="46">
        <f t="shared" si="22"/>
      </c>
      <c r="Y30" s="47">
        <f ca="1" t="shared" si="23"/>
      </c>
      <c r="Z30" s="48">
        <f t="shared" si="24"/>
      </c>
      <c r="AA30" s="49">
        <f ca="1" t="shared" si="25"/>
      </c>
      <c r="AB30" s="46">
        <f t="shared" si="26"/>
      </c>
      <c r="AC30" s="47">
        <f ca="1" t="shared" si="27"/>
      </c>
      <c r="AD30" s="48">
        <f t="shared" si="28"/>
      </c>
      <c r="AE30" s="49">
        <f ca="1" t="shared" si="29"/>
      </c>
      <c r="AF30" s="46">
        <f t="shared" si="30"/>
      </c>
      <c r="AG30" s="47">
        <f ca="1" t="shared" si="31"/>
      </c>
      <c r="AH30" s="48">
        <f t="shared" si="32"/>
      </c>
      <c r="AI30" s="49">
        <f ca="1" t="shared" si="33"/>
      </c>
      <c r="AJ30" s="46">
        <f t="shared" si="34"/>
      </c>
      <c r="AK30" s="47">
        <f ca="1" t="shared" si="35"/>
      </c>
      <c r="AL30" s="48">
        <f t="shared" si="36"/>
      </c>
      <c r="AM30" s="49">
        <f ca="1" t="shared" si="37"/>
      </c>
      <c r="AN30" s="46">
        <f t="shared" si="38"/>
      </c>
      <c r="AO30" s="46">
        <f t="shared" si="39"/>
      </c>
    </row>
    <row r="31" spans="1:41" s="50" customFormat="1" ht="27" customHeight="1">
      <c r="A31" s="85"/>
      <c r="B31" s="57">
        <f t="shared" si="0"/>
      </c>
      <c r="C31" s="51">
        <f ca="1" t="shared" si="1"/>
      </c>
      <c r="D31" s="53">
        <f ca="1" t="shared" si="2"/>
      </c>
      <c r="E31" s="51">
        <f ca="1" t="shared" si="3"/>
      </c>
      <c r="F31" s="51">
        <f ca="1" t="shared" si="4"/>
      </c>
      <c r="G31" s="52">
        <f ca="1" t="shared" si="5"/>
      </c>
      <c r="H31" s="51">
        <f ca="1" t="shared" si="6"/>
      </c>
      <c r="I31" s="59">
        <f ca="1" t="shared" si="7"/>
      </c>
      <c r="J31" s="60">
        <f ca="1" t="shared" si="8"/>
      </c>
      <c r="K31" s="59">
        <f ca="1" t="shared" si="9"/>
      </c>
      <c r="L31" s="59">
        <f ca="1" t="shared" si="10"/>
      </c>
      <c r="M31" s="61">
        <f ca="1" t="shared" si="11"/>
      </c>
      <c r="N31" s="48">
        <f t="shared" si="12"/>
      </c>
      <c r="O31" s="49">
        <f ca="1" t="shared" si="13"/>
      </c>
      <c r="P31" s="46">
        <f t="shared" si="14"/>
      </c>
      <c r="Q31" s="47">
        <f ca="1" t="shared" si="15"/>
      </c>
      <c r="R31" s="48">
        <f t="shared" si="16"/>
      </c>
      <c r="S31" s="49">
        <f ca="1" t="shared" si="17"/>
      </c>
      <c r="T31" s="46">
        <f t="shared" si="18"/>
      </c>
      <c r="U31" s="47">
        <f ca="1" t="shared" si="19"/>
      </c>
      <c r="V31" s="48">
        <f t="shared" si="20"/>
      </c>
      <c r="W31" s="49">
        <f ca="1" t="shared" si="21"/>
      </c>
      <c r="X31" s="46">
        <f t="shared" si="22"/>
      </c>
      <c r="Y31" s="47">
        <f ca="1" t="shared" si="23"/>
      </c>
      <c r="Z31" s="48">
        <f t="shared" si="24"/>
      </c>
      <c r="AA31" s="49">
        <f ca="1" t="shared" si="25"/>
      </c>
      <c r="AB31" s="46">
        <f t="shared" si="26"/>
      </c>
      <c r="AC31" s="47">
        <f ca="1" t="shared" si="27"/>
      </c>
      <c r="AD31" s="48">
        <f t="shared" si="28"/>
      </c>
      <c r="AE31" s="49">
        <f ca="1" t="shared" si="29"/>
      </c>
      <c r="AF31" s="46">
        <f t="shared" si="30"/>
      </c>
      <c r="AG31" s="47">
        <f ca="1" t="shared" si="31"/>
      </c>
      <c r="AH31" s="48">
        <f t="shared" si="32"/>
      </c>
      <c r="AI31" s="49">
        <f ca="1" t="shared" si="33"/>
      </c>
      <c r="AJ31" s="46">
        <f t="shared" si="34"/>
      </c>
      <c r="AK31" s="47">
        <f ca="1" t="shared" si="35"/>
      </c>
      <c r="AL31" s="48">
        <f t="shared" si="36"/>
      </c>
      <c r="AM31" s="49">
        <f ca="1" t="shared" si="37"/>
      </c>
      <c r="AN31" s="46">
        <f t="shared" si="38"/>
      </c>
      <c r="AO31" s="46">
        <f t="shared" si="39"/>
      </c>
    </row>
    <row r="32" spans="1:41" s="50" customFormat="1" ht="27" customHeight="1">
      <c r="A32" s="85"/>
      <c r="B32" s="57">
        <f t="shared" si="0"/>
      </c>
      <c r="C32" s="51">
        <f ca="1" t="shared" si="1"/>
      </c>
      <c r="D32" s="53">
        <f ca="1" t="shared" si="2"/>
      </c>
      <c r="E32" s="51">
        <f ca="1" t="shared" si="3"/>
      </c>
      <c r="F32" s="51">
        <f ca="1" t="shared" si="4"/>
      </c>
      <c r="G32" s="52">
        <f ca="1" t="shared" si="5"/>
      </c>
      <c r="H32" s="51">
        <f ca="1" t="shared" si="6"/>
      </c>
      <c r="I32" s="59">
        <f ca="1" t="shared" si="7"/>
      </c>
      <c r="J32" s="60">
        <f ca="1" t="shared" si="8"/>
      </c>
      <c r="K32" s="59">
        <f ca="1" t="shared" si="9"/>
      </c>
      <c r="L32" s="59">
        <f ca="1" t="shared" si="10"/>
      </c>
      <c r="M32" s="61">
        <f ca="1" t="shared" si="11"/>
      </c>
      <c r="N32" s="48">
        <f t="shared" si="12"/>
      </c>
      <c r="O32" s="49">
        <f ca="1" t="shared" si="13"/>
      </c>
      <c r="P32" s="46">
        <f t="shared" si="14"/>
      </c>
      <c r="Q32" s="47">
        <f ca="1" t="shared" si="15"/>
      </c>
      <c r="R32" s="48">
        <f t="shared" si="16"/>
      </c>
      <c r="S32" s="49">
        <f ca="1" t="shared" si="17"/>
      </c>
      <c r="T32" s="46">
        <f t="shared" si="18"/>
      </c>
      <c r="U32" s="47">
        <f ca="1" t="shared" si="19"/>
      </c>
      <c r="V32" s="48">
        <f t="shared" si="20"/>
      </c>
      <c r="W32" s="49">
        <f ca="1" t="shared" si="21"/>
      </c>
      <c r="X32" s="46">
        <f t="shared" si="22"/>
      </c>
      <c r="Y32" s="47">
        <f ca="1" t="shared" si="23"/>
      </c>
      <c r="Z32" s="48">
        <f t="shared" si="24"/>
      </c>
      <c r="AA32" s="49">
        <f ca="1" t="shared" si="25"/>
      </c>
      <c r="AB32" s="46">
        <f t="shared" si="26"/>
      </c>
      <c r="AC32" s="47">
        <f ca="1" t="shared" si="27"/>
      </c>
      <c r="AD32" s="48">
        <f t="shared" si="28"/>
      </c>
      <c r="AE32" s="49">
        <f ca="1" t="shared" si="29"/>
      </c>
      <c r="AF32" s="46">
        <f t="shared" si="30"/>
      </c>
      <c r="AG32" s="47">
        <f ca="1" t="shared" si="31"/>
      </c>
      <c r="AH32" s="48">
        <f t="shared" si="32"/>
      </c>
      <c r="AI32" s="49">
        <f ca="1" t="shared" si="33"/>
      </c>
      <c r="AJ32" s="46">
        <f t="shared" si="34"/>
      </c>
      <c r="AK32" s="47">
        <f ca="1" t="shared" si="35"/>
      </c>
      <c r="AL32" s="48">
        <f t="shared" si="36"/>
      </c>
      <c r="AM32" s="49">
        <f ca="1" t="shared" si="37"/>
      </c>
      <c r="AN32" s="46">
        <f t="shared" si="38"/>
      </c>
      <c r="AO32" s="46">
        <f t="shared" si="39"/>
      </c>
    </row>
    <row r="33" spans="1:41" s="50" customFormat="1" ht="27" customHeight="1">
      <c r="A33" s="85"/>
      <c r="B33" s="57">
        <f t="shared" si="0"/>
      </c>
      <c r="C33" s="51">
        <f ca="1" t="shared" si="1"/>
      </c>
      <c r="D33" s="53">
        <f ca="1" t="shared" si="2"/>
      </c>
      <c r="E33" s="51">
        <f ca="1" t="shared" si="3"/>
      </c>
      <c r="F33" s="51">
        <f ca="1" t="shared" si="4"/>
      </c>
      <c r="G33" s="52">
        <f ca="1" t="shared" si="5"/>
      </c>
      <c r="H33" s="51">
        <f ca="1" t="shared" si="6"/>
      </c>
      <c r="I33" s="59">
        <f ca="1" t="shared" si="7"/>
      </c>
      <c r="J33" s="60">
        <f ca="1" t="shared" si="8"/>
      </c>
      <c r="K33" s="59">
        <f ca="1" t="shared" si="9"/>
      </c>
      <c r="L33" s="59">
        <f ca="1" t="shared" si="10"/>
      </c>
      <c r="M33" s="61">
        <f ca="1" t="shared" si="11"/>
      </c>
      <c r="N33" s="48">
        <f t="shared" si="12"/>
      </c>
      <c r="O33" s="49">
        <f ca="1" t="shared" si="13"/>
      </c>
      <c r="P33" s="46">
        <f t="shared" si="14"/>
      </c>
      <c r="Q33" s="47">
        <f ca="1" t="shared" si="15"/>
      </c>
      <c r="R33" s="48">
        <f t="shared" si="16"/>
      </c>
      <c r="S33" s="49">
        <f ca="1" t="shared" si="17"/>
      </c>
      <c r="T33" s="46">
        <f t="shared" si="18"/>
      </c>
      <c r="U33" s="47">
        <f ca="1" t="shared" si="19"/>
      </c>
      <c r="V33" s="48">
        <f t="shared" si="20"/>
      </c>
      <c r="W33" s="49">
        <f ca="1" t="shared" si="21"/>
      </c>
      <c r="X33" s="46">
        <f t="shared" si="22"/>
      </c>
      <c r="Y33" s="47">
        <f ca="1" t="shared" si="23"/>
      </c>
      <c r="Z33" s="48">
        <f t="shared" si="24"/>
      </c>
      <c r="AA33" s="49">
        <f ca="1" t="shared" si="25"/>
      </c>
      <c r="AB33" s="46">
        <f t="shared" si="26"/>
      </c>
      <c r="AC33" s="47">
        <f ca="1" t="shared" si="27"/>
      </c>
      <c r="AD33" s="48">
        <f t="shared" si="28"/>
      </c>
      <c r="AE33" s="49">
        <f ca="1" t="shared" si="29"/>
      </c>
      <c r="AF33" s="46">
        <f t="shared" si="30"/>
      </c>
      <c r="AG33" s="47">
        <f ca="1" t="shared" si="31"/>
      </c>
      <c r="AH33" s="48">
        <f t="shared" si="32"/>
      </c>
      <c r="AI33" s="49">
        <f ca="1" t="shared" si="33"/>
      </c>
      <c r="AJ33" s="46">
        <f t="shared" si="34"/>
      </c>
      <c r="AK33" s="47">
        <f ca="1" t="shared" si="35"/>
      </c>
      <c r="AL33" s="48">
        <f t="shared" si="36"/>
      </c>
      <c r="AM33" s="49">
        <f ca="1" t="shared" si="37"/>
      </c>
      <c r="AN33" s="46">
        <f t="shared" si="38"/>
      </c>
      <c r="AO33" s="46">
        <f t="shared" si="39"/>
      </c>
    </row>
    <row r="34" spans="1:41" s="50" customFormat="1" ht="27" customHeight="1">
      <c r="A34" s="85"/>
      <c r="B34" s="57">
        <f t="shared" si="0"/>
      </c>
      <c r="C34" s="51">
        <f ca="1" t="shared" si="1"/>
      </c>
      <c r="D34" s="53">
        <f ca="1" t="shared" si="2"/>
      </c>
      <c r="E34" s="51">
        <f ca="1" t="shared" si="3"/>
      </c>
      <c r="F34" s="51">
        <f ca="1" t="shared" si="4"/>
      </c>
      <c r="G34" s="52">
        <f ca="1" t="shared" si="5"/>
      </c>
      <c r="H34" s="51">
        <f ca="1" t="shared" si="6"/>
      </c>
      <c r="I34" s="59">
        <f ca="1" t="shared" si="7"/>
      </c>
      <c r="J34" s="60">
        <f ca="1" t="shared" si="8"/>
      </c>
      <c r="K34" s="59">
        <f ca="1" t="shared" si="9"/>
      </c>
      <c r="L34" s="59">
        <f ca="1" t="shared" si="10"/>
      </c>
      <c r="M34" s="61">
        <f ca="1" t="shared" si="11"/>
      </c>
      <c r="N34" s="48">
        <f t="shared" si="12"/>
      </c>
      <c r="O34" s="49">
        <f ca="1" t="shared" si="13"/>
      </c>
      <c r="P34" s="46">
        <f t="shared" si="14"/>
      </c>
      <c r="Q34" s="47">
        <f ca="1" t="shared" si="15"/>
      </c>
      <c r="R34" s="48">
        <f t="shared" si="16"/>
      </c>
      <c r="S34" s="49">
        <f ca="1" t="shared" si="17"/>
      </c>
      <c r="T34" s="46">
        <f t="shared" si="18"/>
      </c>
      <c r="U34" s="47">
        <f ca="1" t="shared" si="19"/>
      </c>
      <c r="V34" s="48">
        <f t="shared" si="20"/>
      </c>
      <c r="W34" s="49">
        <f ca="1" t="shared" si="21"/>
      </c>
      <c r="X34" s="46">
        <f t="shared" si="22"/>
      </c>
      <c r="Y34" s="47">
        <f ca="1" t="shared" si="23"/>
      </c>
      <c r="Z34" s="48">
        <f t="shared" si="24"/>
      </c>
      <c r="AA34" s="49">
        <f ca="1" t="shared" si="25"/>
      </c>
      <c r="AB34" s="46">
        <f t="shared" si="26"/>
      </c>
      <c r="AC34" s="47">
        <f ca="1" t="shared" si="27"/>
      </c>
      <c r="AD34" s="48">
        <f t="shared" si="28"/>
      </c>
      <c r="AE34" s="49">
        <f ca="1" t="shared" si="29"/>
      </c>
      <c r="AF34" s="46">
        <f t="shared" si="30"/>
      </c>
      <c r="AG34" s="47">
        <f ca="1" t="shared" si="31"/>
      </c>
      <c r="AH34" s="48">
        <f t="shared" si="32"/>
      </c>
      <c r="AI34" s="49">
        <f ca="1" t="shared" si="33"/>
      </c>
      <c r="AJ34" s="46">
        <f t="shared" si="34"/>
      </c>
      <c r="AK34" s="47">
        <f ca="1" t="shared" si="35"/>
      </c>
      <c r="AL34" s="48">
        <f t="shared" si="36"/>
      </c>
      <c r="AM34" s="49">
        <f ca="1" t="shared" si="37"/>
      </c>
      <c r="AN34" s="46">
        <f t="shared" si="38"/>
      </c>
      <c r="AO34" s="46">
        <f t="shared" si="39"/>
      </c>
    </row>
    <row r="35" spans="1:41" s="50" customFormat="1" ht="27" customHeight="1">
      <c r="A35" s="85"/>
      <c r="B35" s="57">
        <f t="shared" si="0"/>
      </c>
      <c r="C35" s="51">
        <f ca="1" t="shared" si="1"/>
      </c>
      <c r="D35" s="53">
        <f ca="1" t="shared" si="2"/>
      </c>
      <c r="E35" s="51">
        <f ca="1" t="shared" si="3"/>
      </c>
      <c r="F35" s="51">
        <f ca="1" t="shared" si="4"/>
      </c>
      <c r="G35" s="52">
        <f ca="1" t="shared" si="5"/>
      </c>
      <c r="H35" s="51">
        <f ca="1" t="shared" si="6"/>
      </c>
      <c r="I35" s="59">
        <f ca="1" t="shared" si="7"/>
      </c>
      <c r="J35" s="60">
        <f ca="1" t="shared" si="8"/>
      </c>
      <c r="K35" s="59">
        <f ca="1" t="shared" si="9"/>
      </c>
      <c r="L35" s="59">
        <f ca="1" t="shared" si="10"/>
      </c>
      <c r="M35" s="61">
        <f ca="1" t="shared" si="11"/>
      </c>
      <c r="N35" s="48">
        <f t="shared" si="12"/>
      </c>
      <c r="O35" s="49">
        <f ca="1" t="shared" si="13"/>
      </c>
      <c r="P35" s="46">
        <f t="shared" si="14"/>
      </c>
      <c r="Q35" s="47">
        <f ca="1" t="shared" si="15"/>
      </c>
      <c r="R35" s="48">
        <f t="shared" si="16"/>
      </c>
      <c r="S35" s="49">
        <f ca="1" t="shared" si="17"/>
      </c>
      <c r="T35" s="46">
        <f t="shared" si="18"/>
      </c>
      <c r="U35" s="47">
        <f ca="1" t="shared" si="19"/>
      </c>
      <c r="V35" s="48">
        <f t="shared" si="20"/>
      </c>
      <c r="W35" s="49">
        <f ca="1" t="shared" si="21"/>
      </c>
      <c r="X35" s="46">
        <f t="shared" si="22"/>
      </c>
      <c r="Y35" s="47">
        <f ca="1" t="shared" si="23"/>
      </c>
      <c r="Z35" s="48">
        <f t="shared" si="24"/>
      </c>
      <c r="AA35" s="49">
        <f ca="1" t="shared" si="25"/>
      </c>
      <c r="AB35" s="46">
        <f t="shared" si="26"/>
      </c>
      <c r="AC35" s="47">
        <f ca="1" t="shared" si="27"/>
      </c>
      <c r="AD35" s="48">
        <f t="shared" si="28"/>
      </c>
      <c r="AE35" s="49">
        <f ca="1" t="shared" si="29"/>
      </c>
      <c r="AF35" s="46">
        <f t="shared" si="30"/>
      </c>
      <c r="AG35" s="47">
        <f ca="1" t="shared" si="31"/>
      </c>
      <c r="AH35" s="48">
        <f t="shared" si="32"/>
      </c>
      <c r="AI35" s="49">
        <f ca="1" t="shared" si="33"/>
      </c>
      <c r="AJ35" s="46">
        <f t="shared" si="34"/>
      </c>
      <c r="AK35" s="47">
        <f ca="1" t="shared" si="35"/>
      </c>
      <c r="AL35" s="48">
        <f t="shared" si="36"/>
      </c>
      <c r="AM35" s="49">
        <f ca="1" t="shared" si="37"/>
      </c>
      <c r="AN35" s="46">
        <f t="shared" si="38"/>
      </c>
      <c r="AO35" s="46">
        <f t="shared" si="39"/>
      </c>
    </row>
    <row r="36" spans="1:41" s="50" customFormat="1" ht="27" customHeight="1">
      <c r="A36" s="85"/>
      <c r="B36" s="57">
        <f t="shared" si="0"/>
      </c>
      <c r="C36" s="51">
        <f ca="1" t="shared" si="1"/>
      </c>
      <c r="D36" s="53">
        <f ca="1" t="shared" si="2"/>
      </c>
      <c r="E36" s="51">
        <f ca="1" t="shared" si="3"/>
      </c>
      <c r="F36" s="51">
        <f ca="1" t="shared" si="4"/>
      </c>
      <c r="G36" s="52">
        <f ca="1" t="shared" si="5"/>
      </c>
      <c r="H36" s="51">
        <f ca="1" t="shared" si="6"/>
      </c>
      <c r="I36" s="59">
        <f ca="1" t="shared" si="7"/>
      </c>
      <c r="J36" s="60">
        <f ca="1" t="shared" si="8"/>
      </c>
      <c r="K36" s="59">
        <f ca="1" t="shared" si="9"/>
      </c>
      <c r="L36" s="59">
        <f ca="1" t="shared" si="10"/>
      </c>
      <c r="M36" s="61">
        <f ca="1" t="shared" si="11"/>
      </c>
      <c r="N36" s="48">
        <f t="shared" si="12"/>
      </c>
      <c r="O36" s="49">
        <f ca="1" t="shared" si="13"/>
      </c>
      <c r="P36" s="46">
        <f t="shared" si="14"/>
      </c>
      <c r="Q36" s="47">
        <f ca="1" t="shared" si="15"/>
      </c>
      <c r="R36" s="48">
        <f t="shared" si="16"/>
      </c>
      <c r="S36" s="49">
        <f ca="1" t="shared" si="17"/>
      </c>
      <c r="T36" s="46">
        <f t="shared" si="18"/>
      </c>
      <c r="U36" s="47">
        <f ca="1" t="shared" si="19"/>
      </c>
      <c r="V36" s="48">
        <f t="shared" si="20"/>
      </c>
      <c r="W36" s="49">
        <f ca="1" t="shared" si="21"/>
      </c>
      <c r="X36" s="46">
        <f t="shared" si="22"/>
      </c>
      <c r="Y36" s="47">
        <f ca="1" t="shared" si="23"/>
      </c>
      <c r="Z36" s="48">
        <f t="shared" si="24"/>
      </c>
      <c r="AA36" s="49">
        <f ca="1" t="shared" si="25"/>
      </c>
      <c r="AB36" s="46">
        <f t="shared" si="26"/>
      </c>
      <c r="AC36" s="47">
        <f ca="1" t="shared" si="27"/>
      </c>
      <c r="AD36" s="48">
        <f t="shared" si="28"/>
      </c>
      <c r="AE36" s="49">
        <f ca="1" t="shared" si="29"/>
      </c>
      <c r="AF36" s="46">
        <f t="shared" si="30"/>
      </c>
      <c r="AG36" s="47">
        <f ca="1" t="shared" si="31"/>
      </c>
      <c r="AH36" s="48">
        <f t="shared" si="32"/>
      </c>
      <c r="AI36" s="49">
        <f ca="1" t="shared" si="33"/>
      </c>
      <c r="AJ36" s="46">
        <f t="shared" si="34"/>
      </c>
      <c r="AK36" s="47">
        <f ca="1" t="shared" si="35"/>
      </c>
      <c r="AL36" s="48">
        <f t="shared" si="36"/>
      </c>
      <c r="AM36" s="49">
        <f ca="1" t="shared" si="37"/>
      </c>
      <c r="AN36" s="46">
        <f t="shared" si="38"/>
      </c>
      <c r="AO36" s="46">
        <f t="shared" si="39"/>
      </c>
    </row>
    <row r="37" spans="1:41" s="50" customFormat="1" ht="27" customHeight="1">
      <c r="A37" s="85"/>
      <c r="B37" s="57">
        <f t="shared" si="0"/>
      </c>
      <c r="C37" s="51">
        <f ca="1" t="shared" si="1"/>
      </c>
      <c r="D37" s="53">
        <f ca="1" t="shared" si="2"/>
      </c>
      <c r="E37" s="51">
        <f ca="1" t="shared" si="3"/>
      </c>
      <c r="F37" s="51">
        <f ca="1" t="shared" si="4"/>
      </c>
      <c r="G37" s="52">
        <f ca="1" t="shared" si="5"/>
      </c>
      <c r="H37" s="51">
        <f ca="1" t="shared" si="6"/>
      </c>
      <c r="I37" s="59">
        <f ca="1" t="shared" si="7"/>
      </c>
      <c r="J37" s="60">
        <f ca="1" t="shared" si="8"/>
      </c>
      <c r="K37" s="59">
        <f ca="1" t="shared" si="9"/>
      </c>
      <c r="L37" s="59">
        <f ca="1" t="shared" si="10"/>
      </c>
      <c r="M37" s="61">
        <f ca="1" t="shared" si="11"/>
      </c>
      <c r="N37" s="48">
        <f t="shared" si="12"/>
      </c>
      <c r="O37" s="49">
        <f ca="1" t="shared" si="13"/>
      </c>
      <c r="P37" s="46">
        <f t="shared" si="14"/>
      </c>
      <c r="Q37" s="47">
        <f ca="1" t="shared" si="15"/>
      </c>
      <c r="R37" s="48">
        <f t="shared" si="16"/>
      </c>
      <c r="S37" s="49">
        <f ca="1" t="shared" si="17"/>
      </c>
      <c r="T37" s="46">
        <f t="shared" si="18"/>
      </c>
      <c r="U37" s="47">
        <f ca="1" t="shared" si="19"/>
      </c>
      <c r="V37" s="48">
        <f t="shared" si="20"/>
      </c>
      <c r="W37" s="49">
        <f ca="1" t="shared" si="21"/>
      </c>
      <c r="X37" s="46">
        <f t="shared" si="22"/>
      </c>
      <c r="Y37" s="47">
        <f ca="1" t="shared" si="23"/>
      </c>
      <c r="Z37" s="48">
        <f t="shared" si="24"/>
      </c>
      <c r="AA37" s="49">
        <f ca="1" t="shared" si="25"/>
      </c>
      <c r="AB37" s="46">
        <f t="shared" si="26"/>
      </c>
      <c r="AC37" s="47">
        <f ca="1" t="shared" si="27"/>
      </c>
      <c r="AD37" s="48">
        <f t="shared" si="28"/>
      </c>
      <c r="AE37" s="49">
        <f ca="1" t="shared" si="29"/>
      </c>
      <c r="AF37" s="46">
        <f t="shared" si="30"/>
      </c>
      <c r="AG37" s="47">
        <f ca="1" t="shared" si="31"/>
      </c>
      <c r="AH37" s="48">
        <f t="shared" si="32"/>
      </c>
      <c r="AI37" s="49">
        <f ca="1" t="shared" si="33"/>
      </c>
      <c r="AJ37" s="46">
        <f t="shared" si="34"/>
      </c>
      <c r="AK37" s="47">
        <f ca="1" t="shared" si="35"/>
      </c>
      <c r="AL37" s="48">
        <f t="shared" si="36"/>
      </c>
      <c r="AM37" s="49">
        <f ca="1" t="shared" si="37"/>
      </c>
      <c r="AN37" s="46">
        <f t="shared" si="38"/>
      </c>
      <c r="AO37" s="46">
        <f t="shared" si="39"/>
      </c>
    </row>
    <row r="38" spans="1:41" s="50" customFormat="1" ht="27" customHeight="1">
      <c r="A38" s="85"/>
      <c r="B38" s="57">
        <f t="shared" si="0"/>
      </c>
      <c r="C38" s="51">
        <f ca="1" t="shared" si="1"/>
      </c>
      <c r="D38" s="53">
        <f ca="1" t="shared" si="2"/>
      </c>
      <c r="E38" s="51">
        <f ca="1" t="shared" si="3"/>
      </c>
      <c r="F38" s="51">
        <f ca="1" t="shared" si="4"/>
      </c>
      <c r="G38" s="52">
        <f ca="1" t="shared" si="5"/>
      </c>
      <c r="H38" s="51">
        <f ca="1" t="shared" si="6"/>
      </c>
      <c r="I38" s="59">
        <f ca="1" t="shared" si="7"/>
      </c>
      <c r="J38" s="60">
        <f ca="1" t="shared" si="8"/>
      </c>
      <c r="K38" s="59">
        <f ca="1" t="shared" si="9"/>
      </c>
      <c r="L38" s="59">
        <f ca="1" t="shared" si="10"/>
      </c>
      <c r="M38" s="61">
        <f ca="1" t="shared" si="11"/>
      </c>
      <c r="N38" s="48">
        <f t="shared" si="12"/>
      </c>
      <c r="O38" s="49">
        <f ca="1" t="shared" si="13"/>
      </c>
      <c r="P38" s="46">
        <f t="shared" si="14"/>
      </c>
      <c r="Q38" s="47">
        <f ca="1" t="shared" si="15"/>
      </c>
      <c r="R38" s="48">
        <f t="shared" si="16"/>
      </c>
      <c r="S38" s="49">
        <f ca="1" t="shared" si="17"/>
      </c>
      <c r="T38" s="46">
        <f t="shared" si="18"/>
      </c>
      <c r="U38" s="47">
        <f ca="1" t="shared" si="19"/>
      </c>
      <c r="V38" s="48">
        <f t="shared" si="20"/>
      </c>
      <c r="W38" s="49">
        <f ca="1" t="shared" si="21"/>
      </c>
      <c r="X38" s="46">
        <f t="shared" si="22"/>
      </c>
      <c r="Y38" s="47">
        <f ca="1" t="shared" si="23"/>
      </c>
      <c r="Z38" s="48">
        <f t="shared" si="24"/>
      </c>
      <c r="AA38" s="49">
        <f ca="1" t="shared" si="25"/>
      </c>
      <c r="AB38" s="46">
        <f t="shared" si="26"/>
      </c>
      <c r="AC38" s="47">
        <f ca="1" t="shared" si="27"/>
      </c>
      <c r="AD38" s="48">
        <f t="shared" si="28"/>
      </c>
      <c r="AE38" s="49">
        <f ca="1" t="shared" si="29"/>
      </c>
      <c r="AF38" s="46">
        <f t="shared" si="30"/>
      </c>
      <c r="AG38" s="47">
        <f ca="1" t="shared" si="31"/>
      </c>
      <c r="AH38" s="48">
        <f t="shared" si="32"/>
      </c>
      <c r="AI38" s="49">
        <f ca="1" t="shared" si="33"/>
      </c>
      <c r="AJ38" s="46">
        <f t="shared" si="34"/>
      </c>
      <c r="AK38" s="47">
        <f ca="1" t="shared" si="35"/>
      </c>
      <c r="AL38" s="48">
        <f t="shared" si="36"/>
      </c>
      <c r="AM38" s="49">
        <f ca="1" t="shared" si="37"/>
      </c>
      <c r="AN38" s="46">
        <f t="shared" si="38"/>
      </c>
      <c r="AO38" s="46">
        <f t="shared" si="39"/>
      </c>
    </row>
  </sheetData>
  <sheetProtection password="9DCD" sheet="1"/>
  <mergeCells count="26">
    <mergeCell ref="B1:AO1"/>
    <mergeCell ref="B2:B5"/>
    <mergeCell ref="E3:E5"/>
    <mergeCell ref="D3:D5"/>
    <mergeCell ref="AG4:AJ4"/>
    <mergeCell ref="AK4:AN4"/>
    <mergeCell ref="Y3:AN3"/>
    <mergeCell ref="L3:L5"/>
    <mergeCell ref="M4:P4"/>
    <mergeCell ref="U4:X4"/>
    <mergeCell ref="J3:J5"/>
    <mergeCell ref="G3:G5"/>
    <mergeCell ref="H3:H5"/>
    <mergeCell ref="G2:H2"/>
    <mergeCell ref="I2:L2"/>
    <mergeCell ref="Q4:T4"/>
    <mergeCell ref="C2:F2"/>
    <mergeCell ref="C3:C5"/>
    <mergeCell ref="F3:F5"/>
    <mergeCell ref="AC4:AF4"/>
    <mergeCell ref="M2:AN2"/>
    <mergeCell ref="AO2:AO5"/>
    <mergeCell ref="I3:I5"/>
    <mergeCell ref="K3:K5"/>
    <mergeCell ref="M3:X3"/>
    <mergeCell ref="Y4:AB4"/>
  </mergeCells>
  <conditionalFormatting sqref="P6 X6 AB6 AF6">
    <cfRule type="cellIs" priority="177" dxfId="32" operator="equal" stopIfTrue="1">
      <formula>"NG"</formula>
    </cfRule>
    <cfRule type="cellIs" priority="178" dxfId="33" operator="equal" stopIfTrue="1">
      <formula>"OK"</formula>
    </cfRule>
  </conditionalFormatting>
  <conditionalFormatting sqref="AO6">
    <cfRule type="cellIs" priority="175" dxfId="34" operator="equal" stopIfTrue="1">
      <formula>"NG"</formula>
    </cfRule>
    <cfRule type="cellIs" priority="176" dxfId="35" operator="equal" stopIfTrue="1">
      <formula>"OK"</formula>
    </cfRule>
  </conditionalFormatting>
  <conditionalFormatting sqref="T6">
    <cfRule type="cellIs" priority="167" dxfId="32" operator="equal" stopIfTrue="1">
      <formula>"NG"</formula>
    </cfRule>
    <cfRule type="cellIs" priority="168" dxfId="33" operator="equal" stopIfTrue="1">
      <formula>"OK"</formula>
    </cfRule>
  </conditionalFormatting>
  <conditionalFormatting sqref="AJ6 AN6">
    <cfRule type="cellIs" priority="165" dxfId="32" operator="equal" stopIfTrue="1">
      <formula>"NG"</formula>
    </cfRule>
    <cfRule type="cellIs" priority="166" dxfId="33" operator="equal" stopIfTrue="1">
      <formula>"OK"</formula>
    </cfRule>
  </conditionalFormatting>
  <conditionalFormatting sqref="L6">
    <cfRule type="cellIs" priority="107" dxfId="32" operator="equal" stopIfTrue="1">
      <formula>"out"</formula>
    </cfRule>
    <cfRule type="cellIs" priority="108" dxfId="33" operator="equal" stopIfTrue="1">
      <formula>"ok"</formula>
    </cfRule>
  </conditionalFormatting>
  <conditionalFormatting sqref="P7 X7 AB7 AF7">
    <cfRule type="cellIs" priority="29" dxfId="32" operator="equal" stopIfTrue="1">
      <formula>"NG"</formula>
    </cfRule>
    <cfRule type="cellIs" priority="30" dxfId="33" operator="equal" stopIfTrue="1">
      <formula>"OK"</formula>
    </cfRule>
  </conditionalFormatting>
  <conditionalFormatting sqref="AO7">
    <cfRule type="cellIs" priority="27" dxfId="34" operator="equal" stopIfTrue="1">
      <formula>"NG"</formula>
    </cfRule>
    <cfRule type="cellIs" priority="28" dxfId="35" operator="equal" stopIfTrue="1">
      <formula>"OK"</formula>
    </cfRule>
  </conditionalFormatting>
  <conditionalFormatting sqref="T7">
    <cfRule type="cellIs" priority="25" dxfId="32" operator="equal" stopIfTrue="1">
      <formula>"NG"</formula>
    </cfRule>
    <cfRule type="cellIs" priority="26" dxfId="33" operator="equal" stopIfTrue="1">
      <formula>"OK"</formula>
    </cfRule>
  </conditionalFormatting>
  <conditionalFormatting sqref="AJ7 AN7">
    <cfRule type="cellIs" priority="23" dxfId="32" operator="equal" stopIfTrue="1">
      <formula>"NG"</formula>
    </cfRule>
    <cfRule type="cellIs" priority="24" dxfId="33" operator="equal" stopIfTrue="1">
      <formula>"OK"</formula>
    </cfRule>
  </conditionalFormatting>
  <conditionalFormatting sqref="L7">
    <cfRule type="cellIs" priority="21" dxfId="32" operator="equal" stopIfTrue="1">
      <formula>"out"</formula>
    </cfRule>
    <cfRule type="cellIs" priority="22" dxfId="33" operator="equal" stopIfTrue="1">
      <formula>"ok"</formula>
    </cfRule>
  </conditionalFormatting>
  <conditionalFormatting sqref="P8:P38 X8:X38 AB8:AB38 AF8:AF38">
    <cfRule type="cellIs" priority="9" dxfId="32" operator="equal" stopIfTrue="1">
      <formula>"NG"</formula>
    </cfRule>
    <cfRule type="cellIs" priority="10" dxfId="33" operator="equal" stopIfTrue="1">
      <formula>"OK"</formula>
    </cfRule>
  </conditionalFormatting>
  <conditionalFormatting sqref="AO8:AO38">
    <cfRule type="cellIs" priority="7" dxfId="34" operator="equal" stopIfTrue="1">
      <formula>"NG"</formula>
    </cfRule>
    <cfRule type="cellIs" priority="8" dxfId="35" operator="equal" stopIfTrue="1">
      <formula>"OK"</formula>
    </cfRule>
  </conditionalFormatting>
  <conditionalFormatting sqref="T8:T38">
    <cfRule type="cellIs" priority="5" dxfId="32" operator="equal" stopIfTrue="1">
      <formula>"NG"</formula>
    </cfRule>
    <cfRule type="cellIs" priority="6" dxfId="33" operator="equal" stopIfTrue="1">
      <formula>"OK"</formula>
    </cfRule>
  </conditionalFormatting>
  <conditionalFormatting sqref="AJ8:AJ38 AN8:AN38">
    <cfRule type="cellIs" priority="3" dxfId="32" operator="equal" stopIfTrue="1">
      <formula>"NG"</formula>
    </cfRule>
    <cfRule type="cellIs" priority="4" dxfId="33" operator="equal" stopIfTrue="1">
      <formula>"OK"</formula>
    </cfRule>
  </conditionalFormatting>
  <conditionalFormatting sqref="L8:L38">
    <cfRule type="cellIs" priority="1" dxfId="32" operator="equal" stopIfTrue="1">
      <formula>"out"</formula>
    </cfRule>
    <cfRule type="cellIs" priority="2" dxfId="33" operator="equal" stopIfTrue="1">
      <formula>"ok"</formula>
    </cfRule>
  </conditionalFormatting>
  <printOptions horizontalCentered="1"/>
  <pageMargins left="0.5118110236220472" right="0.31496062992125984" top="0.5511811023622047" bottom="0.5511811023622047" header="0.31496062992125984" footer="0.31496062992125984"/>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codeName="Sheet2"/>
  <dimension ref="A1:CR652"/>
  <sheetViews>
    <sheetView tabSelected="1" view="pageBreakPreview" zoomScale="85" zoomScaleNormal="85" zoomScaleSheetLayoutView="85" zoomScalePageLayoutView="0" workbookViewId="0" topLeftCell="A1">
      <selection activeCell="W9" sqref="W9"/>
    </sheetView>
  </sheetViews>
  <sheetFormatPr defaultColWidth="8.625" defaultRowHeight="15.75" customHeight="1"/>
  <cols>
    <col min="1" max="1" width="2.625" style="2" customWidth="1"/>
    <col min="2" max="2" width="2.625" style="3" customWidth="1"/>
    <col min="3" max="3" width="2.625" style="4" customWidth="1"/>
    <col min="4" max="4" width="2.625" style="5" customWidth="1"/>
    <col min="5" max="6" width="2.625" style="3" customWidth="1"/>
    <col min="7" max="7" width="2.625" style="5" customWidth="1"/>
    <col min="8" max="25" width="2.625" style="3" customWidth="1"/>
    <col min="26" max="26" width="2.625" style="4" customWidth="1"/>
    <col min="27" max="27" width="2.625" style="3" customWidth="1"/>
    <col min="28" max="28" width="2.875" style="3" bestFit="1" customWidth="1"/>
    <col min="29" max="34" width="2.625" style="3" customWidth="1"/>
    <col min="35" max="35" width="12.00390625" style="3" customWidth="1"/>
    <col min="36" max="16384" width="8.625" style="3" customWidth="1"/>
  </cols>
  <sheetData>
    <row r="1" spans="1:35" ht="15.75" customHeight="1">
      <c r="A1" s="2" t="s">
        <v>496</v>
      </c>
      <c r="S1" s="8"/>
      <c r="AI1" s="3" t="s">
        <v>490</v>
      </c>
    </row>
    <row r="2" spans="1:35" ht="15.75" customHeight="1">
      <c r="A2" s="2" t="s">
        <v>571</v>
      </c>
      <c r="S2" s="6"/>
      <c r="AI2" s="88"/>
    </row>
    <row r="3" ht="15.75" customHeight="1">
      <c r="AI3" s="88"/>
    </row>
    <row r="4" ht="15.75" customHeight="1">
      <c r="AI4" s="88"/>
    </row>
    <row r="5" spans="2:35" ht="15.75" customHeight="1">
      <c r="B5" s="3" t="s">
        <v>12</v>
      </c>
      <c r="S5" s="6"/>
      <c r="AI5" s="88"/>
    </row>
    <row r="6" spans="3:35" ht="15.75" customHeight="1">
      <c r="C6" s="7" t="s">
        <v>13</v>
      </c>
      <c r="S6" s="8"/>
      <c r="Z6" s="9" t="s">
        <v>14</v>
      </c>
      <c r="AA6" s="10" t="s">
        <v>481</v>
      </c>
      <c r="AI6" s="88"/>
    </row>
    <row r="7" spans="3:35" ht="15.75" customHeight="1">
      <c r="C7" s="7" t="s">
        <v>15</v>
      </c>
      <c r="S7" s="8"/>
      <c r="Z7" s="9" t="s">
        <v>14</v>
      </c>
      <c r="AA7" s="10" t="s">
        <v>17</v>
      </c>
      <c r="AI7" s="88"/>
    </row>
    <row r="8" spans="3:27" ht="15.75" customHeight="1">
      <c r="C8" s="3" t="s">
        <v>16</v>
      </c>
      <c r="S8" s="8"/>
      <c r="Z8" s="9" t="s">
        <v>14</v>
      </c>
      <c r="AA8" s="10" t="s">
        <v>482</v>
      </c>
    </row>
    <row r="9" spans="3:27" ht="15.75" customHeight="1">
      <c r="C9" s="3" t="s">
        <v>18</v>
      </c>
      <c r="S9" s="8"/>
      <c r="Z9" s="9" t="s">
        <v>14</v>
      </c>
      <c r="AA9" s="10" t="s">
        <v>21</v>
      </c>
    </row>
    <row r="10" spans="3:27" ht="15.75" customHeight="1">
      <c r="C10" s="3" t="s">
        <v>19</v>
      </c>
      <c r="D10" s="3"/>
      <c r="S10" s="8"/>
      <c r="Z10" s="9" t="s">
        <v>14</v>
      </c>
      <c r="AA10" s="10" t="s">
        <v>21</v>
      </c>
    </row>
    <row r="11" spans="3:27" ht="15.75" customHeight="1">
      <c r="C11" s="3" t="s">
        <v>20</v>
      </c>
      <c r="D11" s="3"/>
      <c r="S11" s="8"/>
      <c r="Z11" s="9" t="s">
        <v>14</v>
      </c>
      <c r="AA11" s="10" t="s">
        <v>23</v>
      </c>
    </row>
    <row r="12" spans="3:27" ht="15.75" customHeight="1">
      <c r="C12" s="3" t="s">
        <v>22</v>
      </c>
      <c r="S12" s="8"/>
      <c r="Z12" s="9" t="s">
        <v>14</v>
      </c>
      <c r="AA12" s="10" t="s">
        <v>25</v>
      </c>
    </row>
    <row r="13" spans="3:27" ht="15.75" customHeight="1">
      <c r="C13" s="7" t="s">
        <v>24</v>
      </c>
      <c r="D13" s="7"/>
      <c r="S13" s="8"/>
      <c r="Z13" s="9" t="s">
        <v>14</v>
      </c>
      <c r="AA13" s="10" t="s">
        <v>27</v>
      </c>
    </row>
    <row r="14" spans="3:27" ht="15.75" customHeight="1">
      <c r="C14" s="7" t="s">
        <v>26</v>
      </c>
      <c r="D14" s="7"/>
      <c r="S14" s="8"/>
      <c r="Z14" s="9" t="s">
        <v>14</v>
      </c>
      <c r="AA14" s="10" t="s">
        <v>483</v>
      </c>
    </row>
    <row r="15" spans="3:27" ht="15.75" customHeight="1">
      <c r="C15" s="3" t="s">
        <v>28</v>
      </c>
      <c r="S15" s="8"/>
      <c r="Z15" s="9" t="s">
        <v>14</v>
      </c>
      <c r="AA15" s="10" t="s">
        <v>30</v>
      </c>
    </row>
    <row r="16" spans="3:27" ht="15.75" customHeight="1">
      <c r="C16" s="3" t="s">
        <v>29</v>
      </c>
      <c r="S16" s="8"/>
      <c r="Z16" s="9" t="s">
        <v>14</v>
      </c>
      <c r="AA16" s="10" t="s">
        <v>484</v>
      </c>
    </row>
    <row r="17" spans="3:19" ht="15.75" customHeight="1">
      <c r="C17" s="7"/>
      <c r="S17" s="8"/>
    </row>
    <row r="18" spans="3:19" ht="15.75" customHeight="1">
      <c r="C18" s="3"/>
      <c r="S18" s="8"/>
    </row>
    <row r="19" spans="3:19" ht="15.75" customHeight="1">
      <c r="C19" s="3"/>
      <c r="S19" s="8"/>
    </row>
    <row r="20" spans="3:19" ht="15.75" customHeight="1">
      <c r="C20" s="3"/>
      <c r="S20" s="8"/>
    </row>
    <row r="21" spans="3:19" ht="15.75" customHeight="1">
      <c r="C21" s="3"/>
      <c r="S21" s="8"/>
    </row>
    <row r="22" spans="3:19" ht="15.75" customHeight="1">
      <c r="C22" s="3"/>
      <c r="S22" s="8"/>
    </row>
    <row r="23" spans="3:19" ht="15.75" customHeight="1">
      <c r="C23" s="3"/>
      <c r="S23" s="8"/>
    </row>
    <row r="24" spans="3:19" ht="15.75" customHeight="1">
      <c r="C24" s="3"/>
      <c r="S24" s="8"/>
    </row>
    <row r="25" spans="3:19" ht="15.75" customHeight="1">
      <c r="C25" s="3"/>
      <c r="S25" s="8"/>
    </row>
    <row r="26" spans="3:19" ht="15.75" customHeight="1">
      <c r="C26" s="3"/>
      <c r="S26" s="8"/>
    </row>
    <row r="27" spans="3:19" ht="15.75" customHeight="1">
      <c r="C27" s="3"/>
      <c r="S27" s="8"/>
    </row>
    <row r="28" spans="3:19" ht="15.75" customHeight="1">
      <c r="C28" s="3"/>
      <c r="S28" s="8"/>
    </row>
    <row r="29" spans="3:27" ht="15.75" customHeight="1">
      <c r="C29" s="86"/>
      <c r="D29" s="7"/>
      <c r="E29" s="7"/>
      <c r="F29" s="7"/>
      <c r="G29" s="7"/>
      <c r="H29" s="7"/>
      <c r="I29" s="7"/>
      <c r="J29" s="7"/>
      <c r="K29" s="7"/>
      <c r="L29" s="7"/>
      <c r="M29" s="7"/>
      <c r="N29" s="7"/>
      <c r="O29" s="7"/>
      <c r="P29" s="7"/>
      <c r="Q29" s="7"/>
      <c r="R29" s="7"/>
      <c r="S29" s="7"/>
      <c r="T29" s="7"/>
      <c r="U29" s="7"/>
      <c r="V29" s="7"/>
      <c r="W29" s="7"/>
      <c r="X29" s="7"/>
      <c r="Y29" s="7"/>
      <c r="Z29" s="7"/>
      <c r="AA29" s="7"/>
    </row>
    <row r="30" spans="3:19" ht="15.75" customHeight="1">
      <c r="C30" s="7"/>
      <c r="S30" s="8"/>
    </row>
    <row r="31" spans="3:41" ht="15.75" customHeight="1">
      <c r="C31" s="7"/>
      <c r="D31" s="7"/>
      <c r="E31" s="7"/>
      <c r="F31" s="7"/>
      <c r="G31" s="7"/>
      <c r="H31" s="7"/>
      <c r="I31" s="7"/>
      <c r="J31" s="7"/>
      <c r="K31" s="7"/>
      <c r="L31" s="7"/>
      <c r="M31" s="7"/>
      <c r="N31" s="7"/>
      <c r="O31" s="7"/>
      <c r="P31" s="7"/>
      <c r="Q31" s="7"/>
      <c r="R31" s="7"/>
      <c r="S31" s="7"/>
      <c r="T31" s="7"/>
      <c r="U31" s="7"/>
      <c r="V31" s="7"/>
      <c r="W31" s="7"/>
      <c r="X31" s="7"/>
      <c r="Y31" s="7"/>
      <c r="Z31" s="7"/>
      <c r="AA31" s="7"/>
      <c r="AO31" s="3" t="s">
        <v>476</v>
      </c>
    </row>
    <row r="32" spans="3:27" ht="15.75" customHeight="1">
      <c r="C32" s="7"/>
      <c r="D32" s="7"/>
      <c r="E32" s="7"/>
      <c r="F32" s="7"/>
      <c r="G32" s="7"/>
      <c r="H32" s="7"/>
      <c r="I32" s="7"/>
      <c r="J32" s="7"/>
      <c r="K32" s="7"/>
      <c r="L32" s="7"/>
      <c r="M32" s="7"/>
      <c r="N32" s="7"/>
      <c r="O32" s="7"/>
      <c r="P32" s="7"/>
      <c r="Q32" s="7"/>
      <c r="R32" s="7"/>
      <c r="S32" s="7"/>
      <c r="T32" s="7"/>
      <c r="U32" s="7"/>
      <c r="V32" s="7"/>
      <c r="W32" s="7"/>
      <c r="X32" s="7"/>
      <c r="Y32" s="7"/>
      <c r="Z32" s="7"/>
      <c r="AA32" s="7"/>
    </row>
    <row r="33" spans="3:39" ht="15.75" customHeight="1">
      <c r="C33" s="7"/>
      <c r="S33" s="6"/>
      <c r="AM33" s="84" t="s">
        <v>477</v>
      </c>
    </row>
    <row r="34" spans="3:43" ht="15.75" customHeight="1">
      <c r="C34" s="7"/>
      <c r="S34" s="6"/>
      <c r="AI34" s="62" t="s">
        <v>470</v>
      </c>
      <c r="AJ34" s="62"/>
      <c r="AK34" s="62"/>
      <c r="AL34" s="62"/>
      <c r="AM34" s="62"/>
      <c r="AN34" s="62"/>
      <c r="AO34" s="62"/>
      <c r="AP34" s="62"/>
      <c r="AQ34" s="62"/>
    </row>
    <row r="35" spans="3:43" ht="15.75" customHeight="1">
      <c r="C35" s="7"/>
      <c r="S35" s="6"/>
      <c r="AI35" s="63" t="s">
        <v>466</v>
      </c>
      <c r="AJ35" s="128">
        <v>2</v>
      </c>
      <c r="AK35" s="128">
        <v>3</v>
      </c>
      <c r="AL35" s="128">
        <v>4</v>
      </c>
      <c r="AM35" s="128">
        <v>5</v>
      </c>
      <c r="AN35" s="128">
        <v>6</v>
      </c>
      <c r="AO35" s="62"/>
      <c r="AP35" s="62"/>
      <c r="AQ35" s="62"/>
    </row>
    <row r="36" spans="3:43" ht="15.75" customHeight="1">
      <c r="C36" s="7"/>
      <c r="S36" s="6"/>
      <c r="AI36" s="64" t="s">
        <v>464</v>
      </c>
      <c r="AJ36" s="129"/>
      <c r="AK36" s="129"/>
      <c r="AL36" s="129"/>
      <c r="AM36" s="129"/>
      <c r="AN36" s="129"/>
      <c r="AO36" s="62"/>
      <c r="AP36" s="62"/>
      <c r="AQ36" s="62"/>
    </row>
    <row r="37" spans="3:43" ht="15.75" customHeight="1">
      <c r="C37" s="7"/>
      <c r="S37" s="6"/>
      <c r="AI37" s="65" t="s">
        <v>465</v>
      </c>
      <c r="AJ37" s="66" t="s">
        <v>467</v>
      </c>
      <c r="AK37" s="66" t="s">
        <v>467</v>
      </c>
      <c r="AL37" s="66" t="s">
        <v>467</v>
      </c>
      <c r="AM37" s="65" t="s">
        <v>84</v>
      </c>
      <c r="AN37" s="65" t="s">
        <v>84</v>
      </c>
      <c r="AO37" s="62"/>
      <c r="AP37" s="62"/>
      <c r="AQ37" s="62"/>
    </row>
    <row r="38" spans="19:43" ht="15.75" customHeight="1">
      <c r="S38" s="6"/>
      <c r="AI38" s="65">
        <v>140</v>
      </c>
      <c r="AJ38" s="66" t="s">
        <v>468</v>
      </c>
      <c r="AK38" s="66" t="s">
        <v>468</v>
      </c>
      <c r="AL38" s="66" t="s">
        <v>469</v>
      </c>
      <c r="AM38" s="66" t="s">
        <v>473</v>
      </c>
      <c r="AN38" s="66" t="s">
        <v>473</v>
      </c>
      <c r="AO38" s="62"/>
      <c r="AP38" s="62"/>
      <c r="AQ38" s="62"/>
    </row>
    <row r="39" spans="19:43" ht="15.75" customHeight="1">
      <c r="S39" s="6"/>
      <c r="AI39" s="65">
        <v>160</v>
      </c>
      <c r="AJ39" s="66" t="s">
        <v>468</v>
      </c>
      <c r="AK39" s="66" t="s">
        <v>468</v>
      </c>
      <c r="AL39" s="66" t="s">
        <v>469</v>
      </c>
      <c r="AM39" s="66" t="s">
        <v>473</v>
      </c>
      <c r="AN39" s="66" t="s">
        <v>473</v>
      </c>
      <c r="AO39" s="62"/>
      <c r="AP39" s="62"/>
      <c r="AQ39" s="62"/>
    </row>
    <row r="40" spans="19:43" ht="15.75" customHeight="1">
      <c r="S40" s="6"/>
      <c r="AI40" s="65">
        <v>180</v>
      </c>
      <c r="AJ40" s="66" t="s">
        <v>468</v>
      </c>
      <c r="AK40" s="66" t="s">
        <v>468</v>
      </c>
      <c r="AL40" s="66" t="s">
        <v>469</v>
      </c>
      <c r="AM40" s="66" t="s">
        <v>473</v>
      </c>
      <c r="AN40" s="66" t="s">
        <v>473</v>
      </c>
      <c r="AO40" s="62"/>
      <c r="AP40" s="62"/>
      <c r="AQ40" s="62"/>
    </row>
    <row r="41" spans="35:43" ht="15.75" customHeight="1">
      <c r="AI41" s="62" t="s">
        <v>474</v>
      </c>
      <c r="AJ41" s="62"/>
      <c r="AK41" s="62"/>
      <c r="AL41" s="62"/>
      <c r="AM41" s="62"/>
      <c r="AN41" s="62"/>
      <c r="AO41" s="62"/>
      <c r="AP41" s="62"/>
      <c r="AQ41" s="62"/>
    </row>
    <row r="42" spans="1:43" ht="15.75" customHeight="1">
      <c r="A42" s="2" t="s">
        <v>31</v>
      </c>
      <c r="AI42" s="62"/>
      <c r="AJ42" s="62"/>
      <c r="AK42" s="62"/>
      <c r="AL42" s="62"/>
      <c r="AM42" s="62"/>
      <c r="AN42" s="62"/>
      <c r="AO42" s="62"/>
      <c r="AP42" s="62"/>
      <c r="AQ42" s="62"/>
    </row>
    <row r="43" spans="35:53" ht="15.75" customHeight="1">
      <c r="AI43" s="62"/>
      <c r="AJ43" s="62"/>
      <c r="AK43" s="62"/>
      <c r="AL43" s="62"/>
      <c r="AM43" s="62"/>
      <c r="AN43" s="62"/>
      <c r="AO43" s="62"/>
      <c r="AP43" s="62"/>
      <c r="AQ43" s="62"/>
      <c r="AX43" s="11"/>
      <c r="AY43" s="11"/>
      <c r="AZ43" s="11"/>
      <c r="BA43" s="11"/>
    </row>
    <row r="44" spans="1:53" ht="15.75" customHeight="1">
      <c r="A44" s="2" t="s">
        <v>32</v>
      </c>
      <c r="AI44" s="62"/>
      <c r="AJ44" s="67" t="s">
        <v>33</v>
      </c>
      <c r="AK44" s="62"/>
      <c r="AL44" s="62"/>
      <c r="AM44" s="62"/>
      <c r="AN44" s="62"/>
      <c r="AO44" s="62"/>
      <c r="AP44" s="62"/>
      <c r="AQ44" s="62"/>
      <c r="BA44" s="4"/>
    </row>
    <row r="45" spans="1:88" ht="15.75" customHeight="1">
      <c r="A45" s="7" t="s">
        <v>34</v>
      </c>
      <c r="C45" s="3"/>
      <c r="D45" s="3"/>
      <c r="G45" s="25"/>
      <c r="H45" s="25"/>
      <c r="I45" s="25"/>
      <c r="J45" s="25"/>
      <c r="K45" s="25"/>
      <c r="L45" s="25" t="str">
        <f>AJ45</f>
        <v>砂質土ﾀｲﾌﾟ</v>
      </c>
      <c r="M45" s="25"/>
      <c r="N45" s="25"/>
      <c r="O45" s="25"/>
      <c r="P45" s="25"/>
      <c r="Y45" s="4"/>
      <c r="Z45" s="3"/>
      <c r="AI45" s="62" t="s">
        <v>463</v>
      </c>
      <c r="AJ45" s="77" t="s">
        <v>491</v>
      </c>
      <c r="AK45" s="62"/>
      <c r="AL45" s="62"/>
      <c r="AM45" s="62"/>
      <c r="AN45" s="62"/>
      <c r="AO45" s="62"/>
      <c r="AP45" s="62"/>
      <c r="AQ45" s="62"/>
      <c r="BP45" s="7"/>
      <c r="BQ45" s="4"/>
      <c r="BR45" s="4"/>
      <c r="BS45" s="4"/>
      <c r="BT45" s="12"/>
      <c r="BU45" s="13"/>
      <c r="BV45" s="13"/>
      <c r="BW45" s="13"/>
      <c r="BX45" s="4"/>
      <c r="BY45" s="14"/>
      <c r="BZ45" s="14"/>
      <c r="CA45" s="14"/>
      <c r="CB45" s="4"/>
      <c r="CC45" s="14"/>
      <c r="CD45" s="14"/>
      <c r="CE45" s="14"/>
      <c r="CF45" s="12"/>
      <c r="CG45" s="14"/>
      <c r="CH45" s="14"/>
      <c r="CI45" s="14"/>
      <c r="CJ45" s="4"/>
    </row>
    <row r="46" spans="1:88" ht="15.75" customHeight="1">
      <c r="A46" s="7"/>
      <c r="B46" s="3" t="s">
        <v>238</v>
      </c>
      <c r="C46" s="3"/>
      <c r="D46" s="3"/>
      <c r="G46" s="3"/>
      <c r="L46" s="130">
        <f>AJ46</f>
        <v>10</v>
      </c>
      <c r="M46" s="130"/>
      <c r="N46" s="7" t="s">
        <v>61</v>
      </c>
      <c r="Y46" s="4"/>
      <c r="Z46" s="3"/>
      <c r="AI46" s="62" t="s">
        <v>238</v>
      </c>
      <c r="AJ46" s="77">
        <v>10</v>
      </c>
      <c r="AK46" s="62" t="s">
        <v>438</v>
      </c>
      <c r="AL46" s="62"/>
      <c r="AM46" s="62"/>
      <c r="AN46" s="62"/>
      <c r="AO46" s="62"/>
      <c r="AP46" s="62"/>
      <c r="AQ46" s="62"/>
      <c r="BP46" s="7"/>
      <c r="BQ46" s="4"/>
      <c r="BR46" s="4"/>
      <c r="BS46" s="4"/>
      <c r="BT46" s="12"/>
      <c r="BU46" s="13"/>
      <c r="BV46" s="13"/>
      <c r="BW46" s="13"/>
      <c r="BX46" s="4"/>
      <c r="BY46" s="14"/>
      <c r="BZ46" s="14"/>
      <c r="CA46" s="14"/>
      <c r="CB46" s="4"/>
      <c r="CC46" s="14"/>
      <c r="CD46" s="14"/>
      <c r="CE46" s="14"/>
      <c r="CF46" s="12"/>
      <c r="CG46" s="14"/>
      <c r="CH46" s="14"/>
      <c r="CI46" s="14"/>
      <c r="CJ46" s="4"/>
    </row>
    <row r="47" spans="1:87" ht="15.75" customHeight="1" thickBot="1">
      <c r="A47" s="7"/>
      <c r="B47" s="3" t="s">
        <v>35</v>
      </c>
      <c r="C47" s="5"/>
      <c r="D47" s="3"/>
      <c r="F47" s="5"/>
      <c r="G47" s="3"/>
      <c r="L47" s="131">
        <f>AJ47</f>
        <v>1</v>
      </c>
      <c r="M47" s="131"/>
      <c r="N47" s="3" t="s">
        <v>36</v>
      </c>
      <c r="Q47" s="3" t="str">
        <f>IF(L47&gt;2,CONCATENATE("＞2.0m　∴out ﾏﾆｭｱﾙｐ.1"),CONCATENATE("≦2.0m　∴ok　ﾏﾆｭｱﾙｐ.1"))</f>
        <v>≦2.0m　∴ok　ﾏﾆｭｱﾙｐ.1</v>
      </c>
      <c r="Y47" s="4"/>
      <c r="Z47" s="3"/>
      <c r="AI47" s="87" t="s">
        <v>37</v>
      </c>
      <c r="AJ47" s="78">
        <v>1</v>
      </c>
      <c r="AK47" s="87" t="s">
        <v>36</v>
      </c>
      <c r="AL47" s="68"/>
      <c r="AM47" s="87"/>
      <c r="AN47" s="87"/>
      <c r="AO47" s="62"/>
      <c r="AP47" s="62"/>
      <c r="AQ47" s="62"/>
      <c r="BO47" s="7"/>
      <c r="BP47" s="15"/>
      <c r="BQ47" s="15"/>
      <c r="BR47" s="15"/>
      <c r="BS47" s="12"/>
      <c r="BT47" s="13"/>
      <c r="BU47" s="13"/>
      <c r="BV47" s="13"/>
      <c r="BW47" s="4"/>
      <c r="BX47" s="7"/>
      <c r="BY47" s="7"/>
      <c r="BZ47" s="15"/>
      <c r="CA47" s="15"/>
      <c r="CB47" s="15"/>
      <c r="CC47" s="16"/>
      <c r="CD47" s="7"/>
      <c r="CE47" s="12"/>
      <c r="CF47" s="14"/>
      <c r="CG47" s="14"/>
      <c r="CH47" s="14"/>
      <c r="CI47" s="4"/>
    </row>
    <row r="48" spans="1:88" ht="15.75" customHeight="1" thickBot="1">
      <c r="A48" s="3"/>
      <c r="B48" s="3" t="s">
        <v>38</v>
      </c>
      <c r="C48" s="3"/>
      <c r="D48" s="3"/>
      <c r="G48" s="3"/>
      <c r="L48" s="120">
        <v>2000</v>
      </c>
      <c r="M48" s="120"/>
      <c r="N48" s="3" t="s">
        <v>39</v>
      </c>
      <c r="Y48" s="4"/>
      <c r="Z48" s="3"/>
      <c r="AI48" s="87" t="s">
        <v>40</v>
      </c>
      <c r="AJ48" s="69" t="str">
        <f>IF(L47&gt;2,"out","ok")</f>
        <v>ok</v>
      </c>
      <c r="AK48" s="87"/>
      <c r="AL48" s="87"/>
      <c r="AM48" s="87"/>
      <c r="AN48" s="87"/>
      <c r="AO48" s="62"/>
      <c r="AP48" s="62"/>
      <c r="AQ48" s="62"/>
      <c r="BO48" s="7"/>
      <c r="BP48" s="7"/>
      <c r="BQ48" s="17"/>
      <c r="BR48" s="7"/>
      <c r="BS48" s="7"/>
      <c r="BT48" s="16"/>
      <c r="BU48" s="7"/>
      <c r="BV48" s="7"/>
      <c r="BW48" s="7"/>
      <c r="BX48" s="7"/>
      <c r="BY48" s="16"/>
      <c r="BZ48" s="16"/>
      <c r="CA48" s="12"/>
      <c r="CB48" s="12"/>
      <c r="CC48" s="4"/>
      <c r="CD48" s="18"/>
      <c r="CE48" s="18"/>
      <c r="CF48" s="18"/>
      <c r="CJ48" s="7"/>
    </row>
    <row r="49" spans="1:70" ht="15.75" customHeight="1">
      <c r="A49" s="3"/>
      <c r="B49" s="3" t="s">
        <v>41</v>
      </c>
      <c r="C49" s="3"/>
      <c r="D49" s="3"/>
      <c r="G49" s="3"/>
      <c r="L49" s="132">
        <f>AJ49*1000</f>
        <v>850</v>
      </c>
      <c r="M49" s="132"/>
      <c r="N49" s="3" t="s">
        <v>39</v>
      </c>
      <c r="Y49" s="4"/>
      <c r="Z49" s="3"/>
      <c r="AI49" s="87" t="s">
        <v>42</v>
      </c>
      <c r="AJ49" s="79">
        <v>0.85</v>
      </c>
      <c r="AK49" s="87" t="s">
        <v>439</v>
      </c>
      <c r="AL49" s="68"/>
      <c r="AM49" s="87"/>
      <c r="AN49" s="87"/>
      <c r="AO49" s="62"/>
      <c r="AP49" s="62"/>
      <c r="AQ49" s="62"/>
      <c r="BO49" s="7"/>
      <c r="BP49" s="7"/>
      <c r="BQ49" s="7"/>
      <c r="BR49" s="7"/>
    </row>
    <row r="50" spans="1:70" ht="15.75" customHeight="1">
      <c r="A50" s="3"/>
      <c r="B50" s="3" t="s">
        <v>43</v>
      </c>
      <c r="C50" s="5"/>
      <c r="D50" s="3"/>
      <c r="F50" s="5"/>
      <c r="G50" s="3"/>
      <c r="L50" s="120">
        <f>L49</f>
        <v>850</v>
      </c>
      <c r="M50" s="120"/>
      <c r="N50" s="3" t="s">
        <v>44</v>
      </c>
      <c r="Y50" s="4"/>
      <c r="Z50" s="3"/>
      <c r="AI50" s="87" t="s">
        <v>45</v>
      </c>
      <c r="AJ50" s="80">
        <v>20</v>
      </c>
      <c r="AK50" s="87" t="s">
        <v>440</v>
      </c>
      <c r="AL50" s="68"/>
      <c r="AM50" s="87"/>
      <c r="AN50" s="87"/>
      <c r="AO50" s="62"/>
      <c r="AP50" s="62"/>
      <c r="AQ50" s="62"/>
      <c r="BN50" s="7"/>
      <c r="BO50" s="7"/>
      <c r="BP50" s="7"/>
      <c r="BQ50" s="7"/>
      <c r="BR50" s="7"/>
    </row>
    <row r="51" spans="1:87" ht="15.75" customHeight="1">
      <c r="A51" s="3"/>
      <c r="B51" s="3" t="s">
        <v>46</v>
      </c>
      <c r="C51" s="5"/>
      <c r="D51" s="3"/>
      <c r="F51" s="5"/>
      <c r="G51" s="3"/>
      <c r="L51" s="120">
        <v>20</v>
      </c>
      <c r="M51" s="120"/>
      <c r="N51" s="3" t="s">
        <v>44</v>
      </c>
      <c r="Y51" s="4"/>
      <c r="Z51" s="3"/>
      <c r="AI51" s="87" t="s">
        <v>47</v>
      </c>
      <c r="AJ51" s="89">
        <v>0</v>
      </c>
      <c r="AK51" s="87" t="s">
        <v>446</v>
      </c>
      <c r="AL51" s="68" t="s">
        <v>471</v>
      </c>
      <c r="AM51" s="87"/>
      <c r="AN51" s="87"/>
      <c r="AO51" s="62"/>
      <c r="AP51" s="62"/>
      <c r="AQ51" s="62"/>
      <c r="AS51" s="11"/>
      <c r="AT51" s="11"/>
      <c r="AU51" s="11"/>
      <c r="AV51" s="11"/>
      <c r="AW51" s="11"/>
      <c r="AX51" s="11"/>
      <c r="AY51" s="11"/>
      <c r="AZ51" s="11"/>
      <c r="BA51" s="11"/>
      <c r="BN51" s="7"/>
      <c r="BO51" s="7"/>
      <c r="BP51" s="19"/>
      <c r="BQ51" s="4"/>
      <c r="BR51" s="4"/>
      <c r="BS51" s="12"/>
      <c r="BT51" s="14"/>
      <c r="BU51" s="14"/>
      <c r="BV51" s="14"/>
      <c r="BW51" s="4"/>
      <c r="BX51" s="14"/>
      <c r="BY51" s="14"/>
      <c r="BZ51" s="14"/>
      <c r="CA51" s="4"/>
      <c r="CB51" s="14"/>
      <c r="CC51" s="14"/>
      <c r="CD51" s="14"/>
      <c r="CE51" s="12"/>
      <c r="CF51" s="14"/>
      <c r="CG51" s="14"/>
      <c r="CH51" s="14"/>
      <c r="CI51" s="4"/>
    </row>
    <row r="52" spans="1:87" ht="15.75" customHeight="1">
      <c r="A52" s="3"/>
      <c r="B52" s="3" t="s">
        <v>48</v>
      </c>
      <c r="C52" s="5"/>
      <c r="D52" s="3"/>
      <c r="F52" s="5"/>
      <c r="G52" s="3"/>
      <c r="L52" s="133">
        <f>L49+200</f>
        <v>1050</v>
      </c>
      <c r="M52" s="133"/>
      <c r="N52" s="3" t="s">
        <v>39</v>
      </c>
      <c r="Y52" s="4"/>
      <c r="Z52" s="3"/>
      <c r="AI52" s="87" t="s">
        <v>49</v>
      </c>
      <c r="AJ52" s="80">
        <v>140</v>
      </c>
      <c r="AK52" s="87" t="s">
        <v>39</v>
      </c>
      <c r="AL52" s="68"/>
      <c r="AM52" s="87"/>
      <c r="AN52" s="87"/>
      <c r="AO52" s="62"/>
      <c r="AP52" s="62"/>
      <c r="AQ52" s="62"/>
      <c r="BN52" s="7"/>
      <c r="BO52" s="7"/>
      <c r="BP52" s="15"/>
      <c r="BQ52" s="15"/>
      <c r="BR52" s="15"/>
      <c r="BS52" s="12"/>
      <c r="BT52" s="14"/>
      <c r="BU52" s="14"/>
      <c r="BV52" s="14"/>
      <c r="BW52" s="4"/>
      <c r="BX52" s="7"/>
      <c r="BY52" s="7"/>
      <c r="BZ52" s="15"/>
      <c r="CA52" s="15"/>
      <c r="CB52" s="15"/>
      <c r="CC52" s="16"/>
      <c r="CD52" s="7"/>
      <c r="CE52" s="12"/>
      <c r="CF52" s="14"/>
      <c r="CG52" s="14"/>
      <c r="CH52" s="14"/>
      <c r="CI52" s="4"/>
    </row>
    <row r="53" spans="1:80" ht="15.75" customHeight="1">
      <c r="A53" s="3"/>
      <c r="B53" s="3" t="s">
        <v>50</v>
      </c>
      <c r="C53" s="5"/>
      <c r="D53" s="3"/>
      <c r="F53" s="5"/>
      <c r="G53" s="3"/>
      <c r="L53" s="132">
        <v>150</v>
      </c>
      <c r="M53" s="132"/>
      <c r="N53" s="3" t="s">
        <v>39</v>
      </c>
      <c r="Q53" s="7" t="s">
        <v>51</v>
      </c>
      <c r="Y53" s="4"/>
      <c r="Z53" s="3"/>
      <c r="AI53" s="87" t="s">
        <v>52</v>
      </c>
      <c r="AJ53" s="78">
        <v>2.9</v>
      </c>
      <c r="AK53" s="87" t="s">
        <v>36</v>
      </c>
      <c r="AL53" s="68" t="s">
        <v>475</v>
      </c>
      <c r="AM53" s="87"/>
      <c r="AN53" s="87"/>
      <c r="AO53" s="62"/>
      <c r="AP53" s="62"/>
      <c r="AQ53" s="62"/>
      <c r="BJ53" s="7"/>
      <c r="BK53" s="7"/>
      <c r="BL53" s="7"/>
      <c r="BM53" s="17"/>
      <c r="BN53" s="7"/>
      <c r="BO53" s="7"/>
      <c r="BP53" s="16"/>
      <c r="BQ53" s="7"/>
      <c r="BR53" s="7"/>
      <c r="BS53" s="7"/>
      <c r="BT53" s="7"/>
      <c r="BU53" s="16"/>
      <c r="BV53" s="16"/>
      <c r="BW53" s="12"/>
      <c r="BX53" s="12"/>
      <c r="BY53" s="4"/>
      <c r="BZ53" s="18"/>
      <c r="CA53" s="18"/>
      <c r="CB53" s="18"/>
    </row>
    <row r="54" spans="1:81" ht="15.75" customHeight="1" thickBot="1">
      <c r="A54" s="7" t="s">
        <v>53</v>
      </c>
      <c r="C54" s="3"/>
      <c r="D54" s="3"/>
      <c r="G54" s="3"/>
      <c r="Y54" s="4"/>
      <c r="Z54" s="3"/>
      <c r="AI54" s="87" t="s">
        <v>54</v>
      </c>
      <c r="AJ54" s="81">
        <v>3</v>
      </c>
      <c r="AK54" s="87" t="s">
        <v>55</v>
      </c>
      <c r="AL54" s="68" t="s">
        <v>472</v>
      </c>
      <c r="AM54" s="87"/>
      <c r="AN54" s="87"/>
      <c r="AO54" s="62"/>
      <c r="AP54" s="62"/>
      <c r="AQ54" s="62"/>
      <c r="BK54" s="7"/>
      <c r="BL54" s="7"/>
      <c r="BM54" s="7"/>
      <c r="BN54" s="7"/>
      <c r="BO54" s="16"/>
      <c r="BR54" s="7"/>
      <c r="BS54" s="7"/>
      <c r="BT54" s="7"/>
      <c r="BU54" s="17"/>
      <c r="BV54" s="7"/>
      <c r="BW54" s="7"/>
      <c r="BX54" s="16"/>
      <c r="BY54" s="7"/>
      <c r="BZ54" s="7"/>
      <c r="CA54" s="7"/>
      <c r="CB54" s="7"/>
      <c r="CC54" s="16"/>
    </row>
    <row r="55" spans="1:43" ht="15.75" customHeight="1" thickBot="1">
      <c r="A55" s="3"/>
      <c r="B55" s="3" t="s">
        <v>56</v>
      </c>
      <c r="C55" s="3"/>
      <c r="D55" s="3"/>
      <c r="G55" s="3"/>
      <c r="K55" s="116" t="s">
        <v>57</v>
      </c>
      <c r="L55" s="116"/>
      <c r="M55" s="116"/>
      <c r="N55" s="116"/>
      <c r="O55" s="116"/>
      <c r="S55" s="7" t="s">
        <v>58</v>
      </c>
      <c r="AI55" s="87" t="s">
        <v>59</v>
      </c>
      <c r="AJ55" s="69" t="str">
        <f>IF(L76&lt;L71*2.5,"out","ok")</f>
        <v>ok</v>
      </c>
      <c r="AK55" s="87"/>
      <c r="AL55" s="87"/>
      <c r="AM55" s="87"/>
      <c r="AN55" s="87"/>
      <c r="AO55" s="62"/>
      <c r="AP55" s="62"/>
      <c r="AQ55" s="62"/>
    </row>
    <row r="56" spans="1:43" ht="15.75" customHeight="1">
      <c r="A56" s="3"/>
      <c r="B56" s="3" t="s">
        <v>60</v>
      </c>
      <c r="C56" s="3"/>
      <c r="D56" s="3"/>
      <c r="G56" s="3"/>
      <c r="M56" s="4"/>
      <c r="N56" s="131">
        <f>AJ50</f>
        <v>20</v>
      </c>
      <c r="O56" s="131"/>
      <c r="P56" s="7" t="s">
        <v>61</v>
      </c>
      <c r="AI56" s="87"/>
      <c r="AJ56" s="87"/>
      <c r="AK56" s="87"/>
      <c r="AL56" s="87"/>
      <c r="AM56" s="87"/>
      <c r="AN56" s="87"/>
      <c r="AO56" s="62"/>
      <c r="AP56" s="62"/>
      <c r="AQ56" s="62"/>
    </row>
    <row r="57" spans="1:44" ht="15.75" customHeight="1">
      <c r="A57" s="3"/>
      <c r="B57" s="3" t="s">
        <v>62</v>
      </c>
      <c r="C57" s="3"/>
      <c r="D57" s="3"/>
      <c r="G57" s="3"/>
      <c r="M57" s="4"/>
      <c r="N57" s="131">
        <f>ROUND(N56/2,1)</f>
        <v>10</v>
      </c>
      <c r="O57" s="131"/>
      <c r="P57" s="7" t="s">
        <v>63</v>
      </c>
      <c r="S57" s="3" t="s">
        <v>64</v>
      </c>
      <c r="AI57" s="128" t="s">
        <v>65</v>
      </c>
      <c r="AJ57" s="128" t="s">
        <v>66</v>
      </c>
      <c r="AK57" s="135" t="s">
        <v>67</v>
      </c>
      <c r="AL57" s="136"/>
      <c r="AM57" s="135" t="s">
        <v>68</v>
      </c>
      <c r="AN57" s="136"/>
      <c r="AO57" s="135" t="s">
        <v>69</v>
      </c>
      <c r="AP57" s="136"/>
      <c r="AQ57" s="128" t="s">
        <v>70</v>
      </c>
      <c r="AR57" s="68" t="s">
        <v>495</v>
      </c>
    </row>
    <row r="58" spans="1:43" ht="15.75" customHeight="1">
      <c r="A58" s="3"/>
      <c r="B58" s="3" t="s">
        <v>71</v>
      </c>
      <c r="C58" s="3"/>
      <c r="D58" s="3"/>
      <c r="G58" s="3"/>
      <c r="M58" s="4"/>
      <c r="N58" s="132">
        <v>0</v>
      </c>
      <c r="O58" s="132"/>
      <c r="P58" s="3" t="s">
        <v>72</v>
      </c>
      <c r="AI58" s="129"/>
      <c r="AJ58" s="129"/>
      <c r="AK58" s="65" t="s">
        <v>73</v>
      </c>
      <c r="AL58" s="65" t="s">
        <v>74</v>
      </c>
      <c r="AM58" s="65" t="s">
        <v>75</v>
      </c>
      <c r="AN58" s="65" t="s">
        <v>76</v>
      </c>
      <c r="AO58" s="65" t="s">
        <v>77</v>
      </c>
      <c r="AP58" s="65" t="s">
        <v>78</v>
      </c>
      <c r="AQ58" s="129"/>
    </row>
    <row r="59" spans="1:43" ht="15.75" customHeight="1">
      <c r="A59" s="3"/>
      <c r="B59" s="3" t="s">
        <v>79</v>
      </c>
      <c r="C59" s="3"/>
      <c r="D59" s="3"/>
      <c r="G59" s="3"/>
      <c r="M59" s="4"/>
      <c r="N59" s="131">
        <f>14-9</f>
        <v>5</v>
      </c>
      <c r="O59" s="131"/>
      <c r="P59" s="7" t="s">
        <v>80</v>
      </c>
      <c r="S59" s="3" t="s">
        <v>81</v>
      </c>
      <c r="AI59" s="65" t="s">
        <v>82</v>
      </c>
      <c r="AJ59" s="65" t="s">
        <v>83</v>
      </c>
      <c r="AK59" s="82">
        <v>4.58</v>
      </c>
      <c r="AL59" s="65" t="s">
        <v>84</v>
      </c>
      <c r="AM59" s="83">
        <v>0.228</v>
      </c>
      <c r="AN59" s="65" t="s">
        <v>84</v>
      </c>
      <c r="AO59" s="70">
        <f>ROUND(AK59*AM59,3)</f>
        <v>1.044</v>
      </c>
      <c r="AP59" s="71" t="s">
        <v>84</v>
      </c>
      <c r="AQ59" s="137" t="s">
        <v>85</v>
      </c>
    </row>
    <row r="60" spans="1:43" ht="15.75" customHeight="1">
      <c r="A60" s="3"/>
      <c r="B60" s="3" t="s">
        <v>86</v>
      </c>
      <c r="C60" s="3"/>
      <c r="D60" s="3"/>
      <c r="G60" s="3"/>
      <c r="M60" s="4"/>
      <c r="N60" s="131">
        <f>N56/12.5</f>
        <v>1.6</v>
      </c>
      <c r="O60" s="131"/>
      <c r="P60" s="7"/>
      <c r="S60" s="3" t="s">
        <v>87</v>
      </c>
      <c r="AI60" s="65" t="s">
        <v>88</v>
      </c>
      <c r="AJ60" s="65" t="s">
        <v>89</v>
      </c>
      <c r="AK60" s="82">
        <v>12.6</v>
      </c>
      <c r="AL60" s="65" t="s">
        <v>84</v>
      </c>
      <c r="AM60" s="83">
        <v>0.48</v>
      </c>
      <c r="AN60" s="65" t="s">
        <v>84</v>
      </c>
      <c r="AO60" s="70">
        <f>ROUND(AK60*AM60,3)</f>
        <v>6.048</v>
      </c>
      <c r="AP60" s="71" t="s">
        <v>84</v>
      </c>
      <c r="AQ60" s="137"/>
    </row>
    <row r="61" spans="1:43" ht="15.75" customHeight="1">
      <c r="A61" s="3"/>
      <c r="B61" s="7" t="s">
        <v>90</v>
      </c>
      <c r="C61" s="3"/>
      <c r="D61" s="21"/>
      <c r="E61" s="22"/>
      <c r="F61" s="22"/>
      <c r="G61" s="22"/>
      <c r="M61" s="134">
        <f>N60*2800</f>
        <v>4480</v>
      </c>
      <c r="N61" s="134"/>
      <c r="O61" s="134"/>
      <c r="P61" s="7" t="s">
        <v>63</v>
      </c>
      <c r="S61" s="3" t="s">
        <v>91</v>
      </c>
      <c r="AI61" s="65" t="s">
        <v>92</v>
      </c>
      <c r="AJ61" s="65" t="s">
        <v>93</v>
      </c>
      <c r="AK61" s="82">
        <v>7.5</v>
      </c>
      <c r="AL61" s="65" t="s">
        <v>84</v>
      </c>
      <c r="AM61" s="83">
        <v>0.475</v>
      </c>
      <c r="AN61" s="65" t="s">
        <v>84</v>
      </c>
      <c r="AO61" s="70">
        <f>ROUND(AK61*AM61,3)</f>
        <v>3.563</v>
      </c>
      <c r="AP61" s="71" t="s">
        <v>84</v>
      </c>
      <c r="AQ61" s="137"/>
    </row>
    <row r="62" spans="1:43" ht="15.75" customHeight="1">
      <c r="A62" s="3"/>
      <c r="B62" s="7" t="s">
        <v>94</v>
      </c>
      <c r="C62" s="3"/>
      <c r="D62" s="21"/>
      <c r="E62" s="22"/>
      <c r="F62" s="22"/>
      <c r="G62" s="22"/>
      <c r="M62" s="4"/>
      <c r="N62" s="132">
        <v>1</v>
      </c>
      <c r="O62" s="132"/>
      <c r="P62" s="7"/>
      <c r="S62" s="3" t="s">
        <v>95</v>
      </c>
      <c r="AI62" s="72" t="s">
        <v>96</v>
      </c>
      <c r="AJ62" s="65" t="s">
        <v>97</v>
      </c>
      <c r="AK62" s="65" t="s">
        <v>84</v>
      </c>
      <c r="AL62" s="82">
        <v>6.51</v>
      </c>
      <c r="AM62" s="65" t="s">
        <v>84</v>
      </c>
      <c r="AN62" s="83">
        <v>0.333</v>
      </c>
      <c r="AO62" s="71" t="s">
        <v>84</v>
      </c>
      <c r="AP62" s="70">
        <f>ROUND(AL62*AN62,3)</f>
        <v>2.168</v>
      </c>
      <c r="AQ62" s="137"/>
    </row>
    <row r="63" spans="1:43" ht="15.75" customHeight="1">
      <c r="A63" s="3"/>
      <c r="B63" s="3" t="s">
        <v>98</v>
      </c>
      <c r="C63" s="3"/>
      <c r="D63" s="4"/>
      <c r="G63" s="3"/>
      <c r="M63" s="4"/>
      <c r="N63" s="131">
        <f>N59</f>
        <v>5</v>
      </c>
      <c r="O63" s="131"/>
      <c r="P63" s="7" t="s">
        <v>80</v>
      </c>
      <c r="S63" s="3" t="s">
        <v>99</v>
      </c>
      <c r="AI63" s="65" t="s">
        <v>100</v>
      </c>
      <c r="AJ63" s="65"/>
      <c r="AK63" s="73">
        <f>SUM(AK59:AK62)</f>
        <v>24.68</v>
      </c>
      <c r="AL63" s="73">
        <f>SUM(AL59:AL62)</f>
        <v>6.51</v>
      </c>
      <c r="AM63" s="71" t="s">
        <v>84</v>
      </c>
      <c r="AN63" s="71" t="s">
        <v>84</v>
      </c>
      <c r="AO63" s="70">
        <f>SUM(AO59:AO62)</f>
        <v>10.655000000000001</v>
      </c>
      <c r="AP63" s="70">
        <f>SUM(AP59:AP62)</f>
        <v>2.168</v>
      </c>
      <c r="AQ63" s="73"/>
    </row>
    <row r="64" spans="1:43" ht="15.75" customHeight="1" thickBot="1">
      <c r="A64" s="3"/>
      <c r="B64" s="3" t="s">
        <v>101</v>
      </c>
      <c r="C64" s="3"/>
      <c r="D64" s="3"/>
      <c r="G64" s="3"/>
      <c r="M64" s="4"/>
      <c r="N64" s="132">
        <f>AJ51*1000</f>
        <v>0</v>
      </c>
      <c r="O64" s="132"/>
      <c r="P64" s="3" t="s">
        <v>39</v>
      </c>
      <c r="S64" s="3" t="s">
        <v>102</v>
      </c>
      <c r="AI64" s="87"/>
      <c r="AJ64" s="87"/>
      <c r="AK64" s="87"/>
      <c r="AL64" s="87"/>
      <c r="AM64" s="87"/>
      <c r="AN64" s="87"/>
      <c r="AO64" s="62"/>
      <c r="AP64" s="62"/>
      <c r="AQ64" s="62"/>
    </row>
    <row r="65" spans="1:43" ht="15.75" customHeight="1">
      <c r="A65" s="7" t="s">
        <v>103</v>
      </c>
      <c r="B65" s="4"/>
      <c r="C65" s="5"/>
      <c r="D65" s="3"/>
      <c r="F65" s="5"/>
      <c r="G65" s="3"/>
      <c r="R65" s="4"/>
      <c r="Z65" s="3"/>
      <c r="AI65" s="87" t="s">
        <v>104</v>
      </c>
      <c r="AJ65" s="87" t="s">
        <v>8</v>
      </c>
      <c r="AK65" s="87" t="s">
        <v>105</v>
      </c>
      <c r="AL65" s="74" t="str">
        <f>AD103</f>
        <v>OK</v>
      </c>
      <c r="AM65" s="87"/>
      <c r="AN65" s="87"/>
      <c r="AO65" s="62"/>
      <c r="AP65" s="62"/>
      <c r="AQ65" s="62"/>
    </row>
    <row r="66" spans="1:43" ht="15.75" customHeight="1">
      <c r="A66" s="3"/>
      <c r="B66" s="3" t="s">
        <v>106</v>
      </c>
      <c r="C66" s="3"/>
      <c r="D66" s="3"/>
      <c r="G66" s="3"/>
      <c r="L66" s="138" t="s">
        <v>107</v>
      </c>
      <c r="M66" s="138"/>
      <c r="Z66" s="3"/>
      <c r="AI66" s="87"/>
      <c r="AJ66" s="87"/>
      <c r="AK66" s="87" t="s">
        <v>108</v>
      </c>
      <c r="AL66" s="75" t="str">
        <f>AD104</f>
        <v>OK</v>
      </c>
      <c r="AM66" s="87"/>
      <c r="AN66" s="87"/>
      <c r="AO66" s="62"/>
      <c r="AP66" s="62"/>
      <c r="AQ66" s="62"/>
    </row>
    <row r="67" spans="1:43" ht="15.75" customHeight="1">
      <c r="A67" s="3"/>
      <c r="B67" s="7" t="s">
        <v>109</v>
      </c>
      <c r="C67" s="3"/>
      <c r="D67" s="3"/>
      <c r="G67" s="3"/>
      <c r="L67" s="139">
        <v>4.5</v>
      </c>
      <c r="M67" s="139"/>
      <c r="N67" s="7" t="s">
        <v>110</v>
      </c>
      <c r="O67" s="7"/>
      <c r="P67" s="7"/>
      <c r="Q67" s="7" t="s">
        <v>111</v>
      </c>
      <c r="Z67" s="3"/>
      <c r="AI67" s="87"/>
      <c r="AJ67" s="87" t="s">
        <v>9</v>
      </c>
      <c r="AK67" s="87"/>
      <c r="AL67" s="75" t="str">
        <f>AD105</f>
        <v>OK</v>
      </c>
      <c r="AM67" s="87"/>
      <c r="AN67" s="87"/>
      <c r="AO67" s="62"/>
      <c r="AP67" s="62"/>
      <c r="AQ67" s="62"/>
    </row>
    <row r="68" spans="1:43" ht="15.75" customHeight="1">
      <c r="A68" s="3"/>
      <c r="B68" s="7" t="s">
        <v>112</v>
      </c>
      <c r="C68" s="3"/>
      <c r="D68" s="3"/>
      <c r="G68" s="3"/>
      <c r="L68" s="139">
        <v>3.5</v>
      </c>
      <c r="M68" s="139"/>
      <c r="N68" s="7" t="s">
        <v>113</v>
      </c>
      <c r="O68" s="7"/>
      <c r="P68" s="7"/>
      <c r="Q68" s="7" t="s">
        <v>111</v>
      </c>
      <c r="Z68" s="3"/>
      <c r="AI68" s="87" t="s">
        <v>114</v>
      </c>
      <c r="AJ68" s="87" t="s">
        <v>8</v>
      </c>
      <c r="AK68" s="87" t="s">
        <v>105</v>
      </c>
      <c r="AL68" s="75" t="str">
        <f>AD115</f>
        <v>OK</v>
      </c>
      <c r="AM68" s="87"/>
      <c r="AN68" s="87"/>
      <c r="AO68" s="62"/>
      <c r="AP68" s="62"/>
      <c r="AQ68" s="62"/>
    </row>
    <row r="69" spans="1:38" ht="15.75" customHeight="1" thickBot="1">
      <c r="A69" s="3"/>
      <c r="B69" s="7" t="s">
        <v>115</v>
      </c>
      <c r="C69" s="21"/>
      <c r="D69" s="21"/>
      <c r="E69" s="21"/>
      <c r="F69" s="22"/>
      <c r="G69" s="22"/>
      <c r="H69" s="22"/>
      <c r="J69" s="140">
        <v>7000000</v>
      </c>
      <c r="K69" s="140"/>
      <c r="L69" s="140"/>
      <c r="M69" s="140"/>
      <c r="N69" s="7" t="s">
        <v>63</v>
      </c>
      <c r="Q69" s="7" t="s">
        <v>116</v>
      </c>
      <c r="Z69" s="3"/>
      <c r="AK69" s="87" t="s">
        <v>108</v>
      </c>
      <c r="AL69" s="76" t="str">
        <f>AD117</f>
        <v>OK</v>
      </c>
    </row>
    <row r="70" spans="1:43" ht="15.75" customHeight="1">
      <c r="A70" s="3"/>
      <c r="B70" s="3" t="s">
        <v>118</v>
      </c>
      <c r="C70" s="3"/>
      <c r="D70" s="3"/>
      <c r="G70" s="3"/>
      <c r="L70" s="132">
        <f>AJ52</f>
        <v>140</v>
      </c>
      <c r="M70" s="132"/>
      <c r="N70" s="3" t="s">
        <v>39</v>
      </c>
      <c r="Q70" s="3" t="s">
        <v>119</v>
      </c>
      <c r="Z70" s="3"/>
      <c r="AI70" s="87"/>
      <c r="AJ70" s="87"/>
      <c r="AK70" s="87"/>
      <c r="AL70" s="90"/>
      <c r="AM70" s="87"/>
      <c r="AN70" s="87"/>
      <c r="AO70" s="62"/>
      <c r="AP70" s="62"/>
      <c r="AQ70" s="62"/>
    </row>
    <row r="71" spans="1:38" ht="15.75" customHeight="1">
      <c r="A71" s="3"/>
      <c r="B71" s="3" t="s">
        <v>120</v>
      </c>
      <c r="C71" s="3"/>
      <c r="D71" s="3"/>
      <c r="G71" s="3"/>
      <c r="L71" s="120">
        <f>L70+L72*15</f>
        <v>183.5</v>
      </c>
      <c r="M71" s="120"/>
      <c r="N71" s="3" t="s">
        <v>121</v>
      </c>
      <c r="Q71" s="3" t="s">
        <v>122</v>
      </c>
      <c r="Z71" s="3"/>
      <c r="AK71" s="87"/>
      <c r="AL71" s="90"/>
    </row>
    <row r="72" spans="1:26" ht="15.75" customHeight="1">
      <c r="A72" s="3"/>
      <c r="B72" s="3" t="s">
        <v>123</v>
      </c>
      <c r="C72" s="3"/>
      <c r="D72" s="3"/>
      <c r="G72" s="3"/>
      <c r="L72" s="131">
        <f>AJ53</f>
        <v>2.9</v>
      </c>
      <c r="M72" s="131"/>
      <c r="N72" s="3" t="s">
        <v>124</v>
      </c>
      <c r="Q72" s="3" t="s">
        <v>119</v>
      </c>
      <c r="Z72" s="3"/>
    </row>
    <row r="73" spans="1:26" ht="15.75" customHeight="1">
      <c r="A73" s="3"/>
      <c r="B73" s="3" t="s">
        <v>125</v>
      </c>
      <c r="C73" s="3"/>
      <c r="D73" s="3"/>
      <c r="G73" s="3"/>
      <c r="L73" s="120">
        <v>50</v>
      </c>
      <c r="M73" s="120"/>
      <c r="N73" s="3" t="s">
        <v>39</v>
      </c>
      <c r="Q73" s="3" t="s">
        <v>126</v>
      </c>
      <c r="Y73" s="4"/>
      <c r="Z73" s="3"/>
    </row>
    <row r="74" spans="1:26" ht="15.75" customHeight="1">
      <c r="A74" s="3"/>
      <c r="B74" s="3" t="s">
        <v>127</v>
      </c>
      <c r="C74" s="3"/>
      <c r="D74" s="3"/>
      <c r="G74" s="3"/>
      <c r="L74" s="132">
        <f>AJ54</f>
        <v>3</v>
      </c>
      <c r="M74" s="132"/>
      <c r="N74" s="3" t="s">
        <v>128</v>
      </c>
      <c r="Q74" s="3" t="str">
        <f>IF(L74&lt;3,"不足　ﾏﾆｭｱﾙp.57","≧3(本)　ﾏﾆｭｱﾙp.57")</f>
        <v>≧3(本)　ﾏﾆｭｱﾙp.57</v>
      </c>
      <c r="Y74" s="4"/>
      <c r="Z74" s="3"/>
    </row>
    <row r="75" spans="1:26" ht="15.75" customHeight="1">
      <c r="A75" s="3"/>
      <c r="B75" s="3" t="s">
        <v>129</v>
      </c>
      <c r="C75" s="3"/>
      <c r="D75" s="3"/>
      <c r="G75" s="3"/>
      <c r="L75" s="141">
        <f>ROUNDUP(L71*1.25,-1)</f>
        <v>230</v>
      </c>
      <c r="M75" s="141"/>
      <c r="N75" s="3" t="s">
        <v>130</v>
      </c>
      <c r="Q75" s="3" t="s">
        <v>131</v>
      </c>
      <c r="Y75" s="4"/>
      <c r="Z75" s="3"/>
    </row>
    <row r="76" spans="1:26" ht="15.75" customHeight="1">
      <c r="A76" s="3"/>
      <c r="B76" s="3" t="s">
        <v>462</v>
      </c>
      <c r="C76" s="3"/>
      <c r="D76" s="3"/>
      <c r="G76" s="3"/>
      <c r="L76" s="142">
        <f>MIN(L77,L78)</f>
        <v>773</v>
      </c>
      <c r="M76" s="142"/>
      <c r="N76" s="3" t="s">
        <v>130</v>
      </c>
      <c r="Q76" s="3" t="str">
        <f>IF(L76&lt;ROUNDUP(L71*2.5,0),CONCATENATE("＜2.5φ0=",ROUNDUP(L71*2.5,0),"(mm) 　∴out ﾏﾆｭｱﾙｐ.26"),CONCATENATE("≧2.5φ0=",ROUNDUP(L71*2.5,0),"(mm) 　∴ok　ﾏﾆｭｱﾙｐ.26"))</f>
        <v>≧2.5φ0=459(mm) 　∴ok　ﾏﾆｭｱﾙｐ.26</v>
      </c>
      <c r="Y76" s="4"/>
      <c r="Z76" s="3"/>
    </row>
    <row r="77" spans="3:14" ht="15.75" customHeight="1">
      <c r="C77" s="3"/>
      <c r="D77" s="3"/>
      <c r="G77" s="3"/>
      <c r="H77" s="3" t="s">
        <v>492</v>
      </c>
      <c r="L77" s="142">
        <f>ROUNDDOWN(IF(L74=3,2000/2,IF(L74=4,2000/2,IF(L74=5,2000/3,IF(L74=6,2000/3,"")))),0)</f>
        <v>1000</v>
      </c>
      <c r="M77" s="142"/>
      <c r="N77" s="3" t="s">
        <v>39</v>
      </c>
    </row>
    <row r="78" spans="3:14" ht="15.75" customHeight="1">
      <c r="C78" s="3"/>
      <c r="D78" s="3"/>
      <c r="G78" s="3"/>
      <c r="H78" s="3" t="s">
        <v>493</v>
      </c>
      <c r="L78" s="142">
        <f>ROUNDDOWN(IF(L74=3,SQRT((2000/4)^2+(L52-L75*2)^2),IF(L74=4,L52-L75*2,IF(L74=5,SQRT((2000/6)^2+(L52-L75*2)^2),IF(L74=6,L52-L75*2,"")))),0)</f>
        <v>773</v>
      </c>
      <c r="M78" s="142"/>
      <c r="N78" s="3" t="s">
        <v>39</v>
      </c>
    </row>
    <row r="95" ht="15.75" customHeight="1">
      <c r="A95" s="2" t="s">
        <v>132</v>
      </c>
    </row>
    <row r="97" spans="2:32" ht="15.75" customHeight="1">
      <c r="B97" s="116" t="s">
        <v>133</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row>
    <row r="98" spans="1:33" ht="15.75" customHeight="1">
      <c r="A98" s="143" t="s">
        <v>134</v>
      </c>
      <c r="B98" s="127"/>
      <c r="C98" s="127"/>
      <c r="D98" s="144" t="s">
        <v>135</v>
      </c>
      <c r="E98" s="145" t="s">
        <v>136</v>
      </c>
      <c r="F98" s="146"/>
      <c r="G98" s="146"/>
      <c r="H98" s="146"/>
      <c r="I98" s="146"/>
      <c r="J98" s="146"/>
      <c r="K98" s="146"/>
      <c r="L98" s="146"/>
      <c r="M98" s="146"/>
      <c r="N98" s="146"/>
      <c r="O98" s="146"/>
      <c r="P98" s="146"/>
      <c r="Q98" s="146"/>
      <c r="R98" s="146"/>
      <c r="S98" s="146"/>
      <c r="T98" s="146"/>
      <c r="U98" s="146"/>
      <c r="V98" s="147">
        <f>L48/1000</f>
        <v>2</v>
      </c>
      <c r="W98" s="147"/>
      <c r="X98" s="148" t="s">
        <v>137</v>
      </c>
      <c r="Y98" s="148"/>
      <c r="Z98" s="148"/>
      <c r="AA98" s="148"/>
      <c r="AB98" s="148"/>
      <c r="AC98" s="148"/>
      <c r="AD98" s="148"/>
      <c r="AE98" s="148"/>
      <c r="AF98" s="148"/>
      <c r="AG98" s="149"/>
    </row>
    <row r="99" spans="1:33" ht="15.75" customHeight="1">
      <c r="A99" s="127"/>
      <c r="B99" s="127"/>
      <c r="C99" s="127"/>
      <c r="D99" s="144"/>
      <c r="E99" s="143" t="s">
        <v>138</v>
      </c>
      <c r="F99" s="127"/>
      <c r="G99" s="127"/>
      <c r="H99" s="127"/>
      <c r="I99" s="143" t="s">
        <v>139</v>
      </c>
      <c r="J99" s="127"/>
      <c r="K99" s="127"/>
      <c r="L99" s="127"/>
      <c r="M99" s="143" t="s">
        <v>140</v>
      </c>
      <c r="N99" s="143"/>
      <c r="O99" s="143"/>
      <c r="P99" s="143"/>
      <c r="Q99" s="143"/>
      <c r="R99" s="143" t="s">
        <v>141</v>
      </c>
      <c r="S99" s="143"/>
      <c r="T99" s="143"/>
      <c r="U99" s="143"/>
      <c r="V99" s="143"/>
      <c r="W99" s="143"/>
      <c r="X99" s="143" t="s">
        <v>142</v>
      </c>
      <c r="Y99" s="143"/>
      <c r="Z99" s="143"/>
      <c r="AA99" s="143"/>
      <c r="AB99" s="143"/>
      <c r="AC99" s="143"/>
      <c r="AD99" s="143" t="s">
        <v>143</v>
      </c>
      <c r="AE99" s="143"/>
      <c r="AF99" s="143"/>
      <c r="AG99" s="143"/>
    </row>
    <row r="100" spans="1:33" ht="15.75" customHeight="1">
      <c r="A100" s="127"/>
      <c r="B100" s="127"/>
      <c r="C100" s="127"/>
      <c r="D100" s="144"/>
      <c r="E100" s="143"/>
      <c r="F100" s="127"/>
      <c r="G100" s="127"/>
      <c r="H100" s="127"/>
      <c r="I100" s="143"/>
      <c r="J100" s="127"/>
      <c r="K100" s="127"/>
      <c r="L100" s="127"/>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row>
    <row r="101" spans="1:33" ht="15.75" customHeight="1">
      <c r="A101" s="127"/>
      <c r="B101" s="127"/>
      <c r="C101" s="127"/>
      <c r="D101" s="144"/>
      <c r="E101" s="127"/>
      <c r="F101" s="127"/>
      <c r="G101" s="127"/>
      <c r="H101" s="127"/>
      <c r="I101" s="127"/>
      <c r="J101" s="127"/>
      <c r="K101" s="127"/>
      <c r="L101" s="127"/>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row>
    <row r="102" spans="1:33" ht="15.75" customHeight="1">
      <c r="A102" s="127"/>
      <c r="B102" s="127"/>
      <c r="C102" s="127"/>
      <c r="D102" s="144"/>
      <c r="E102" s="127"/>
      <c r="F102" s="127"/>
      <c r="G102" s="127"/>
      <c r="H102" s="127"/>
      <c r="I102" s="127"/>
      <c r="J102" s="127"/>
      <c r="K102" s="127"/>
      <c r="L102" s="127"/>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row>
    <row r="103" spans="1:33" ht="15.75" customHeight="1">
      <c r="A103" s="127" t="s">
        <v>8</v>
      </c>
      <c r="B103" s="127"/>
      <c r="C103" s="127"/>
      <c r="D103" s="20" t="s">
        <v>105</v>
      </c>
      <c r="E103" s="150">
        <f>F254</f>
        <v>32.64</v>
      </c>
      <c r="F103" s="150"/>
      <c r="G103" s="150"/>
      <c r="H103" s="150"/>
      <c r="I103" s="150">
        <f>O254</f>
        <v>18.19</v>
      </c>
      <c r="J103" s="150"/>
      <c r="K103" s="150"/>
      <c r="L103" s="150"/>
      <c r="M103" s="150">
        <f>S357</f>
        <v>14.45</v>
      </c>
      <c r="N103" s="150"/>
      <c r="O103" s="150"/>
      <c r="P103" s="150"/>
      <c r="Q103" s="150"/>
      <c r="R103" s="150">
        <f>MAX(G408,G409)</f>
        <v>6.82</v>
      </c>
      <c r="S103" s="150"/>
      <c r="T103" s="150"/>
      <c r="U103" s="150"/>
      <c r="V103" s="150"/>
      <c r="W103" s="150"/>
      <c r="X103" s="150">
        <f>V408</f>
        <v>8.36</v>
      </c>
      <c r="Y103" s="150"/>
      <c r="Z103" s="150"/>
      <c r="AA103" s="150"/>
      <c r="AB103" s="150"/>
      <c r="AC103" s="150"/>
      <c r="AD103" s="127" t="str">
        <f>AC408</f>
        <v>OK</v>
      </c>
      <c r="AE103" s="127"/>
      <c r="AF103" s="127"/>
      <c r="AG103" s="127"/>
    </row>
    <row r="104" spans="1:33" ht="15.75" customHeight="1">
      <c r="A104" s="127"/>
      <c r="B104" s="127"/>
      <c r="C104" s="127"/>
      <c r="D104" s="20" t="s">
        <v>117</v>
      </c>
      <c r="E104" s="150">
        <f>F312</f>
        <v>25.14</v>
      </c>
      <c r="F104" s="150"/>
      <c r="G104" s="150"/>
      <c r="H104" s="150"/>
      <c r="I104" s="150">
        <f>O312</f>
        <v>13.96</v>
      </c>
      <c r="J104" s="150"/>
      <c r="K104" s="150"/>
      <c r="L104" s="150"/>
      <c r="M104" s="150">
        <f>S384</f>
        <v>11.18</v>
      </c>
      <c r="N104" s="150"/>
      <c r="O104" s="150"/>
      <c r="P104" s="150"/>
      <c r="Q104" s="150"/>
      <c r="R104" s="150">
        <f>MAX(G413,G414)</f>
        <v>6.37</v>
      </c>
      <c r="S104" s="150"/>
      <c r="T104" s="150"/>
      <c r="U104" s="150"/>
      <c r="V104" s="150"/>
      <c r="W104" s="150"/>
      <c r="X104" s="150">
        <f>V413</f>
        <v>8.36</v>
      </c>
      <c r="Y104" s="150"/>
      <c r="Z104" s="150"/>
      <c r="AA104" s="150"/>
      <c r="AB104" s="150"/>
      <c r="AC104" s="150"/>
      <c r="AD104" s="127" t="str">
        <f>AC413</f>
        <v>OK</v>
      </c>
      <c r="AE104" s="127"/>
      <c r="AF104" s="127"/>
      <c r="AG104" s="127"/>
    </row>
    <row r="105" spans="1:33" ht="15.75" customHeight="1">
      <c r="A105" s="127" t="s">
        <v>9</v>
      </c>
      <c r="B105" s="127"/>
      <c r="C105" s="127"/>
      <c r="D105" s="127"/>
      <c r="E105" s="150">
        <f>I629</f>
        <v>12.54</v>
      </c>
      <c r="F105" s="150"/>
      <c r="G105" s="150"/>
      <c r="H105" s="150"/>
      <c r="I105" s="151" t="s">
        <v>84</v>
      </c>
      <c r="J105" s="151"/>
      <c r="K105" s="151"/>
      <c r="L105" s="151"/>
      <c r="M105" s="150">
        <f>I629</f>
        <v>12.54</v>
      </c>
      <c r="N105" s="150"/>
      <c r="O105" s="150"/>
      <c r="P105" s="150"/>
      <c r="Q105" s="150"/>
      <c r="R105" s="150">
        <f>O640</f>
        <v>6.27</v>
      </c>
      <c r="S105" s="150"/>
      <c r="T105" s="150"/>
      <c r="U105" s="150"/>
      <c r="V105" s="150"/>
      <c r="W105" s="150"/>
      <c r="X105" s="150">
        <f>F621</f>
        <v>10.45</v>
      </c>
      <c r="Y105" s="150"/>
      <c r="Z105" s="150"/>
      <c r="AA105" s="150"/>
      <c r="AB105" s="150"/>
      <c r="AC105" s="150"/>
      <c r="AD105" s="127" t="str">
        <f>V640</f>
        <v>OK</v>
      </c>
      <c r="AE105" s="127"/>
      <c r="AF105" s="127"/>
      <c r="AG105" s="127"/>
    </row>
    <row r="106" spans="1:96" ht="15.75" customHeight="1">
      <c r="A106" s="23"/>
      <c r="B106" s="7"/>
      <c r="C106" s="7"/>
      <c r="D106" s="7" t="s">
        <v>144</v>
      </c>
      <c r="E106" s="7"/>
      <c r="F106" s="16"/>
      <c r="G106" s="16"/>
      <c r="H106" s="16"/>
      <c r="I106" s="16"/>
      <c r="J106" s="16"/>
      <c r="K106" s="16"/>
      <c r="L106" s="16"/>
      <c r="M106" s="16"/>
      <c r="N106" s="16"/>
      <c r="O106" s="16"/>
      <c r="P106" s="16"/>
      <c r="Q106" s="16"/>
      <c r="R106" s="16"/>
      <c r="S106" s="16"/>
      <c r="T106" s="16"/>
      <c r="U106" s="16"/>
      <c r="V106" s="16"/>
      <c r="W106" s="16"/>
      <c r="X106" s="16"/>
      <c r="Y106" s="16"/>
      <c r="Z106" s="16"/>
      <c r="AA106" s="16"/>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row>
    <row r="107" spans="1:96" s="7" customFormat="1" ht="15.75" customHeight="1">
      <c r="A107" s="2"/>
      <c r="B107" s="3"/>
      <c r="C107" s="4"/>
      <c r="D107" s="5"/>
      <c r="E107" s="3"/>
      <c r="F107" s="3"/>
      <c r="G107" s="5"/>
      <c r="H107" s="3"/>
      <c r="I107" s="3"/>
      <c r="J107" s="3"/>
      <c r="K107" s="3"/>
      <c r="L107" s="3"/>
      <c r="M107" s="3"/>
      <c r="N107" s="3"/>
      <c r="O107" s="3"/>
      <c r="P107" s="3"/>
      <c r="Q107" s="3"/>
      <c r="R107" s="3"/>
      <c r="S107" s="3"/>
      <c r="T107" s="3"/>
      <c r="U107" s="3"/>
      <c r="V107" s="3"/>
      <c r="W107" s="3"/>
      <c r="X107" s="3"/>
      <c r="Y107" s="3"/>
      <c r="Z107" s="4"/>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row>
    <row r="108" spans="2:32" ht="15.75" customHeight="1">
      <c r="B108" s="116" t="s">
        <v>145</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row>
    <row r="109" spans="1:33" ht="15.75" customHeight="1">
      <c r="A109" s="144" t="s">
        <v>146</v>
      </c>
      <c r="B109" s="144"/>
      <c r="C109" s="144" t="s">
        <v>135</v>
      </c>
      <c r="D109" s="145" t="s">
        <v>136</v>
      </c>
      <c r="E109" s="146"/>
      <c r="F109" s="146"/>
      <c r="G109" s="146"/>
      <c r="H109" s="146"/>
      <c r="I109" s="146"/>
      <c r="J109" s="146"/>
      <c r="K109" s="146"/>
      <c r="L109" s="146"/>
      <c r="M109" s="146"/>
      <c r="N109" s="146"/>
      <c r="O109" s="146"/>
      <c r="P109" s="146"/>
      <c r="Q109" s="146"/>
      <c r="R109" s="146"/>
      <c r="S109" s="146"/>
      <c r="T109" s="146"/>
      <c r="U109" s="147">
        <f>V98</f>
        <v>2</v>
      </c>
      <c r="V109" s="147"/>
      <c r="W109" s="148" t="s">
        <v>137</v>
      </c>
      <c r="X109" s="148"/>
      <c r="Y109" s="148"/>
      <c r="Z109" s="148"/>
      <c r="AA109" s="148"/>
      <c r="AB109" s="148"/>
      <c r="AC109" s="148"/>
      <c r="AD109" s="148"/>
      <c r="AE109" s="148"/>
      <c r="AF109" s="148"/>
      <c r="AG109" s="149"/>
    </row>
    <row r="110" spans="1:33" ht="15.75" customHeight="1">
      <c r="A110" s="144"/>
      <c r="B110" s="144"/>
      <c r="C110" s="144"/>
      <c r="D110" s="143" t="s">
        <v>147</v>
      </c>
      <c r="E110" s="127"/>
      <c r="F110" s="127"/>
      <c r="G110" s="127"/>
      <c r="H110" s="143" t="s">
        <v>148</v>
      </c>
      <c r="I110" s="127"/>
      <c r="J110" s="127"/>
      <c r="K110" s="127"/>
      <c r="L110" s="143" t="s">
        <v>149</v>
      </c>
      <c r="M110" s="143"/>
      <c r="N110" s="143"/>
      <c r="O110" s="143"/>
      <c r="P110" s="143"/>
      <c r="Q110" s="143" t="s">
        <v>150</v>
      </c>
      <c r="R110" s="143"/>
      <c r="S110" s="143"/>
      <c r="T110" s="143"/>
      <c r="U110" s="143"/>
      <c r="V110" s="143"/>
      <c r="W110" s="143"/>
      <c r="X110" s="143"/>
      <c r="Y110" s="143" t="s">
        <v>151</v>
      </c>
      <c r="Z110" s="143"/>
      <c r="AA110" s="143"/>
      <c r="AB110" s="143"/>
      <c r="AC110" s="143"/>
      <c r="AD110" s="143" t="s">
        <v>152</v>
      </c>
      <c r="AE110" s="143"/>
      <c r="AF110" s="143"/>
      <c r="AG110" s="143"/>
    </row>
    <row r="111" spans="1:33" ht="15.75" customHeight="1">
      <c r="A111" s="144"/>
      <c r="B111" s="144"/>
      <c r="C111" s="144"/>
      <c r="D111" s="143"/>
      <c r="E111" s="127"/>
      <c r="F111" s="127"/>
      <c r="G111" s="127"/>
      <c r="H111" s="143"/>
      <c r="I111" s="127"/>
      <c r="J111" s="127"/>
      <c r="K111" s="127"/>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row>
    <row r="112" spans="1:33" ht="15.75" customHeight="1">
      <c r="A112" s="144"/>
      <c r="B112" s="144"/>
      <c r="C112" s="144"/>
      <c r="D112" s="143"/>
      <c r="E112" s="127"/>
      <c r="F112" s="127"/>
      <c r="G112" s="127"/>
      <c r="H112" s="143"/>
      <c r="I112" s="127"/>
      <c r="J112" s="127"/>
      <c r="K112" s="127"/>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row>
    <row r="113" spans="1:33" ht="15.75" customHeight="1">
      <c r="A113" s="144"/>
      <c r="B113" s="144"/>
      <c r="C113" s="144"/>
      <c r="D113" s="127"/>
      <c r="E113" s="127"/>
      <c r="F113" s="127"/>
      <c r="G113" s="127"/>
      <c r="H113" s="127"/>
      <c r="I113" s="127"/>
      <c r="J113" s="127"/>
      <c r="K113" s="127"/>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row>
    <row r="114" spans="1:33" ht="15.75" customHeight="1">
      <c r="A114" s="144"/>
      <c r="B114" s="144"/>
      <c r="C114" s="144"/>
      <c r="D114" s="127"/>
      <c r="E114" s="127"/>
      <c r="F114" s="127"/>
      <c r="G114" s="127"/>
      <c r="H114" s="127"/>
      <c r="I114" s="127"/>
      <c r="J114" s="127"/>
      <c r="K114" s="127"/>
      <c r="L114" s="143"/>
      <c r="M114" s="143"/>
      <c r="N114" s="143"/>
      <c r="O114" s="143"/>
      <c r="P114" s="143"/>
      <c r="Q114" s="127" t="s">
        <v>153</v>
      </c>
      <c r="R114" s="127"/>
      <c r="S114" s="127"/>
      <c r="T114" s="127"/>
      <c r="U114" s="127" t="s">
        <v>154</v>
      </c>
      <c r="V114" s="127"/>
      <c r="W114" s="127"/>
      <c r="X114" s="127"/>
      <c r="Y114" s="143"/>
      <c r="Z114" s="143"/>
      <c r="AA114" s="143"/>
      <c r="AB114" s="143"/>
      <c r="AC114" s="143"/>
      <c r="AD114" s="143"/>
      <c r="AE114" s="143"/>
      <c r="AF114" s="143"/>
      <c r="AG114" s="143"/>
    </row>
    <row r="115" spans="1:33" ht="15.75" customHeight="1">
      <c r="A115" s="144" t="s">
        <v>8</v>
      </c>
      <c r="B115" s="144"/>
      <c r="C115" s="127" t="s">
        <v>105</v>
      </c>
      <c r="D115" s="150">
        <f>K462</f>
        <v>6.51</v>
      </c>
      <c r="E115" s="150"/>
      <c r="F115" s="150"/>
      <c r="G115" s="150"/>
      <c r="H115" s="150">
        <f>O462</f>
        <v>9.17</v>
      </c>
      <c r="I115" s="150"/>
      <c r="J115" s="150"/>
      <c r="K115" s="150"/>
      <c r="L115" s="150">
        <f>S462</f>
        <v>0</v>
      </c>
      <c r="M115" s="150"/>
      <c r="N115" s="150"/>
      <c r="O115" s="150"/>
      <c r="P115" s="150"/>
      <c r="Q115" s="150">
        <f>G595</f>
        <v>0.44</v>
      </c>
      <c r="R115" s="150"/>
      <c r="S115" s="150"/>
      <c r="T115" s="150"/>
      <c r="U115" s="150">
        <f>G599</f>
        <v>0.18</v>
      </c>
      <c r="V115" s="150"/>
      <c r="W115" s="150"/>
      <c r="X115" s="150"/>
      <c r="Y115" s="152">
        <f>X595</f>
        <v>4.5</v>
      </c>
      <c r="Z115" s="152"/>
      <c r="AA115" s="152"/>
      <c r="AB115" s="152"/>
      <c r="AC115" s="152"/>
      <c r="AD115" s="127" t="str">
        <f>IF(AND(AE595="OK",AE599="OK"),"OK","NG")</f>
        <v>OK</v>
      </c>
      <c r="AE115" s="127"/>
      <c r="AF115" s="127"/>
      <c r="AG115" s="127"/>
    </row>
    <row r="116" spans="1:33" ht="15.75" customHeight="1">
      <c r="A116" s="144"/>
      <c r="B116" s="144"/>
      <c r="C116" s="127"/>
      <c r="D116" s="150"/>
      <c r="E116" s="150"/>
      <c r="F116" s="150"/>
      <c r="G116" s="150"/>
      <c r="H116" s="150"/>
      <c r="I116" s="150"/>
      <c r="J116" s="150"/>
      <c r="K116" s="150"/>
      <c r="L116" s="150"/>
      <c r="M116" s="150"/>
      <c r="N116" s="150"/>
      <c r="O116" s="150"/>
      <c r="P116" s="150"/>
      <c r="Q116" s="153" t="str">
        <f>IF(O522&gt;0,"－",G596)</f>
        <v>－</v>
      </c>
      <c r="R116" s="153"/>
      <c r="S116" s="153"/>
      <c r="T116" s="153"/>
      <c r="U116" s="153" t="str">
        <f>IF(O538&gt;0,"－",G600)</f>
        <v>－</v>
      </c>
      <c r="V116" s="153"/>
      <c r="W116" s="153"/>
      <c r="X116" s="153"/>
      <c r="Y116" s="150">
        <f>X596</f>
        <v>4.5</v>
      </c>
      <c r="Z116" s="150"/>
      <c r="AA116" s="150"/>
      <c r="AB116" s="150"/>
      <c r="AC116" s="150"/>
      <c r="AD116" s="127"/>
      <c r="AE116" s="127"/>
      <c r="AF116" s="127"/>
      <c r="AG116" s="127"/>
    </row>
    <row r="117" spans="1:33" ht="15.75" customHeight="1">
      <c r="A117" s="144"/>
      <c r="B117" s="144"/>
      <c r="C117" s="127" t="s">
        <v>117</v>
      </c>
      <c r="D117" s="150">
        <f>K543</f>
        <v>6.51</v>
      </c>
      <c r="E117" s="150"/>
      <c r="F117" s="150"/>
      <c r="G117" s="150"/>
      <c r="H117" s="150">
        <f>O543</f>
        <v>7.65</v>
      </c>
      <c r="I117" s="150"/>
      <c r="J117" s="150"/>
      <c r="K117" s="150"/>
      <c r="L117" s="150">
        <f>S543</f>
        <v>0</v>
      </c>
      <c r="M117" s="150"/>
      <c r="N117" s="150"/>
      <c r="O117" s="150"/>
      <c r="P117" s="150"/>
      <c r="Q117" s="150">
        <f>G605</f>
        <v>0.41</v>
      </c>
      <c r="R117" s="150"/>
      <c r="S117" s="150"/>
      <c r="T117" s="150"/>
      <c r="U117" s="150">
        <f>G609</f>
        <v>0.07</v>
      </c>
      <c r="V117" s="150"/>
      <c r="W117" s="150"/>
      <c r="X117" s="150"/>
      <c r="Y117" s="152">
        <f>X609</f>
        <v>4.5</v>
      </c>
      <c r="Z117" s="152"/>
      <c r="AA117" s="152"/>
      <c r="AB117" s="152"/>
      <c r="AC117" s="152"/>
      <c r="AD117" s="127" t="str">
        <f>IF(AND(AE605="OK",AE609="OK"),"OK","NG")</f>
        <v>OK</v>
      </c>
      <c r="AE117" s="127"/>
      <c r="AF117" s="127"/>
      <c r="AG117" s="127"/>
    </row>
    <row r="118" spans="1:33" ht="15.75" customHeight="1">
      <c r="A118" s="144"/>
      <c r="B118" s="144"/>
      <c r="C118" s="127"/>
      <c r="D118" s="150"/>
      <c r="E118" s="150"/>
      <c r="F118" s="150"/>
      <c r="G118" s="150"/>
      <c r="H118" s="150"/>
      <c r="I118" s="150"/>
      <c r="J118" s="150"/>
      <c r="K118" s="150"/>
      <c r="L118" s="150"/>
      <c r="M118" s="150"/>
      <c r="N118" s="150"/>
      <c r="O118" s="150"/>
      <c r="P118" s="150"/>
      <c r="Q118" s="153" t="str">
        <f>IF(O567&gt;0,"－",G606)</f>
        <v>－</v>
      </c>
      <c r="R118" s="153"/>
      <c r="S118" s="153"/>
      <c r="T118" s="153"/>
      <c r="U118" s="153" t="str">
        <f>IF(O583&gt;0,"－",G610)</f>
        <v>－</v>
      </c>
      <c r="V118" s="153"/>
      <c r="W118" s="153"/>
      <c r="X118" s="153"/>
      <c r="Y118" s="150">
        <f>X610</f>
        <v>4.5</v>
      </c>
      <c r="Z118" s="150"/>
      <c r="AA118" s="150"/>
      <c r="AB118" s="150"/>
      <c r="AC118" s="150"/>
      <c r="AD118" s="127"/>
      <c r="AE118" s="127"/>
      <c r="AF118" s="127"/>
      <c r="AG118" s="127"/>
    </row>
    <row r="119" spans="1:33" ht="15.75" customHeight="1">
      <c r="A119" s="24"/>
      <c r="B119" s="24"/>
      <c r="C119" s="25" t="s">
        <v>155</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4"/>
      <c r="AE119" s="4"/>
      <c r="AF119" s="4"/>
      <c r="AG119" s="4"/>
    </row>
    <row r="120" spans="1:33" ht="15.75" customHeight="1">
      <c r="A120" s="24"/>
      <c r="B120" s="24"/>
      <c r="C120" s="25"/>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4"/>
      <c r="AE120" s="4"/>
      <c r="AF120" s="4"/>
      <c r="AG120" s="4"/>
    </row>
    <row r="121" spans="1:33" ht="15.75" customHeight="1">
      <c r="A121" s="24"/>
      <c r="B121" s="24"/>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4"/>
      <c r="AE121" s="4"/>
      <c r="AF121" s="4"/>
      <c r="AG121" s="4"/>
    </row>
    <row r="122" spans="1:33" ht="15.75" customHeight="1">
      <c r="A122" s="24"/>
      <c r="B122" s="24"/>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4"/>
      <c r="AE122" s="4"/>
      <c r="AF122" s="4"/>
      <c r="AG122" s="4"/>
    </row>
    <row r="123" spans="1:33" ht="15.75" customHeight="1">
      <c r="A123" s="24"/>
      <c r="B123" s="24"/>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4"/>
      <c r="AE123" s="4"/>
      <c r="AF123" s="4"/>
      <c r="AG123" s="4"/>
    </row>
    <row r="124" spans="1:33" ht="15.75" customHeight="1">
      <c r="A124" s="24"/>
      <c r="B124" s="24"/>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4"/>
      <c r="AE124" s="4"/>
      <c r="AF124" s="4"/>
      <c r="AG124" s="4"/>
    </row>
    <row r="125" spans="1:33" ht="15.75" customHeight="1">
      <c r="A125" s="24"/>
      <c r="B125" s="24"/>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4"/>
      <c r="AE125" s="4"/>
      <c r="AF125" s="4"/>
      <c r="AG125" s="4"/>
    </row>
    <row r="126" spans="1:33" ht="15.75" customHeight="1">
      <c r="A126" s="24"/>
      <c r="B126" s="24"/>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4"/>
      <c r="AE126" s="4"/>
      <c r="AF126" s="4"/>
      <c r="AG126" s="4"/>
    </row>
    <row r="127" spans="1:33" ht="15.75" customHeight="1">
      <c r="A127" s="24"/>
      <c r="B127" s="24"/>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4"/>
      <c r="AE127" s="4"/>
      <c r="AF127" s="4"/>
      <c r="AG127" s="4"/>
    </row>
    <row r="128" spans="1:33" ht="15.75" customHeight="1">
      <c r="A128" s="24"/>
      <c r="B128" s="24"/>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4"/>
      <c r="AE128" s="4"/>
      <c r="AF128" s="4"/>
      <c r="AG128" s="4"/>
    </row>
    <row r="129" spans="1:33" ht="15.75" customHeight="1">
      <c r="A129" s="24"/>
      <c r="B129" s="24"/>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4"/>
      <c r="AE129" s="4"/>
      <c r="AF129" s="4"/>
      <c r="AG129" s="4"/>
    </row>
    <row r="130" spans="1:33" ht="15.75" customHeight="1">
      <c r="A130" s="24"/>
      <c r="B130" s="24"/>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4"/>
      <c r="AE130" s="4"/>
      <c r="AF130" s="4"/>
      <c r="AG130" s="4"/>
    </row>
    <row r="131" spans="1:33" ht="15.75" customHeight="1">
      <c r="A131" s="24"/>
      <c r="B131" s="24"/>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4"/>
      <c r="AE131" s="4"/>
      <c r="AF131" s="4"/>
      <c r="AG131" s="4"/>
    </row>
    <row r="132" spans="1:33" ht="15.75" customHeight="1">
      <c r="A132" s="24"/>
      <c r="B132" s="24"/>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4"/>
      <c r="AE132" s="4"/>
      <c r="AF132" s="4"/>
      <c r="AG132" s="4"/>
    </row>
    <row r="133" spans="1:33" ht="15.75" customHeight="1">
      <c r="A133" s="24"/>
      <c r="B133" s="24"/>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4"/>
      <c r="AE133" s="4"/>
      <c r="AF133" s="4"/>
      <c r="AG133" s="4"/>
    </row>
    <row r="134" spans="1:33" ht="15.75" customHeight="1">
      <c r="A134" s="24"/>
      <c r="B134" s="24"/>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4"/>
      <c r="AE134" s="4"/>
      <c r="AF134" s="4"/>
      <c r="AG134" s="4"/>
    </row>
    <row r="135" spans="1:33" ht="15.75" customHeight="1">
      <c r="A135" s="24"/>
      <c r="B135" s="24"/>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4"/>
      <c r="AE135" s="4"/>
      <c r="AF135" s="4"/>
      <c r="AG135" s="4"/>
    </row>
    <row r="137" ht="15.75" customHeight="1">
      <c r="A137" s="2" t="s">
        <v>156</v>
      </c>
    </row>
    <row r="138" ht="15.75" customHeight="1"/>
    <row r="139" spans="2:33" ht="15.75" customHeight="1">
      <c r="B139" s="154" t="s">
        <v>157</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row>
    <row r="140" spans="2:33" ht="15.75" customHeight="1">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row>
    <row r="141" spans="2:33" ht="15.75" customHeight="1">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row>
    <row r="142" spans="2:33" ht="15.75" customHeight="1">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row>
    <row r="143" spans="2:33" ht="15.75" customHeight="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row>
    <row r="144" ht="15.75" customHeight="1">
      <c r="A144" s="2" t="s">
        <v>158</v>
      </c>
    </row>
    <row r="145" ht="15.75" customHeight="1"/>
    <row r="146" spans="2:22" ht="15.75" customHeight="1">
      <c r="B146" s="3" t="s">
        <v>159</v>
      </c>
      <c r="H146" s="116" t="s">
        <v>160</v>
      </c>
      <c r="I146" s="116"/>
      <c r="J146" s="4" t="s">
        <v>161</v>
      </c>
      <c r="K146" s="114">
        <f>AA148</f>
        <v>0.714</v>
      </c>
      <c r="L146" s="114"/>
      <c r="M146" s="114"/>
      <c r="N146" s="4" t="s">
        <v>162</v>
      </c>
      <c r="O146" s="114">
        <f>AA149</f>
        <v>7.245</v>
      </c>
      <c r="P146" s="114"/>
      <c r="Q146" s="114"/>
      <c r="R146" s="4" t="s">
        <v>163</v>
      </c>
      <c r="S146" s="114">
        <f>ROUND(K146+O146,3)</f>
        <v>7.959</v>
      </c>
      <c r="T146" s="114"/>
      <c r="U146" s="114"/>
      <c r="V146" s="7" t="s">
        <v>164</v>
      </c>
    </row>
    <row r="147" spans="8:25" ht="15.75" customHeight="1">
      <c r="H147" s="4"/>
      <c r="I147" s="4"/>
      <c r="J147" s="4"/>
      <c r="K147" s="116" t="s">
        <v>165</v>
      </c>
      <c r="L147" s="116"/>
      <c r="M147" s="116"/>
      <c r="O147" s="116" t="s">
        <v>166</v>
      </c>
      <c r="P147" s="116"/>
      <c r="Q147" s="116"/>
      <c r="S147" s="116" t="s">
        <v>167</v>
      </c>
      <c r="T147" s="116"/>
      <c r="U147" s="116"/>
      <c r="W147" s="7" t="s">
        <v>168</v>
      </c>
      <c r="X147" s="7"/>
      <c r="Y147" s="7"/>
    </row>
    <row r="148" spans="2:30" ht="15.75" customHeight="1">
      <c r="B148" s="3" t="s">
        <v>169</v>
      </c>
      <c r="H148" s="116" t="s">
        <v>170</v>
      </c>
      <c r="I148" s="116"/>
      <c r="J148" s="4" t="s">
        <v>171</v>
      </c>
      <c r="K148" s="155">
        <f>L50/1000</f>
        <v>0.85</v>
      </c>
      <c r="L148" s="155"/>
      <c r="M148" s="155"/>
      <c r="N148" s="4" t="s">
        <v>172</v>
      </c>
      <c r="O148" s="130">
        <f>V98</f>
        <v>2</v>
      </c>
      <c r="P148" s="130"/>
      <c r="Q148" s="130"/>
      <c r="R148" s="4" t="s">
        <v>173</v>
      </c>
      <c r="S148" s="155">
        <f>L51/1000</f>
        <v>0.02</v>
      </c>
      <c r="T148" s="155"/>
      <c r="U148" s="155"/>
      <c r="V148" s="4" t="s">
        <v>174</v>
      </c>
      <c r="W148" s="131">
        <v>21</v>
      </c>
      <c r="X148" s="131"/>
      <c r="Y148" s="131"/>
      <c r="Z148" s="4" t="s">
        <v>175</v>
      </c>
      <c r="AA148" s="114">
        <f>ROUND(K148*O148*S148*W148,3)</f>
        <v>0.714</v>
      </c>
      <c r="AB148" s="114"/>
      <c r="AC148" s="114"/>
      <c r="AD148" s="7" t="s">
        <v>176</v>
      </c>
    </row>
    <row r="149" spans="2:30" ht="15.75" customHeight="1">
      <c r="B149" s="3" t="s">
        <v>177</v>
      </c>
      <c r="H149" s="116" t="s">
        <v>178</v>
      </c>
      <c r="I149" s="116"/>
      <c r="J149" s="4" t="s">
        <v>175</v>
      </c>
      <c r="K149" s="155">
        <f>L52/1000</f>
        <v>1.05</v>
      </c>
      <c r="L149" s="155"/>
      <c r="M149" s="155"/>
      <c r="N149" s="4" t="s">
        <v>179</v>
      </c>
      <c r="O149" s="130">
        <f>V98</f>
        <v>2</v>
      </c>
      <c r="P149" s="130"/>
      <c r="Q149" s="130"/>
      <c r="R149" s="4" t="s">
        <v>179</v>
      </c>
      <c r="S149" s="155">
        <f>L53/1000</f>
        <v>0.15</v>
      </c>
      <c r="T149" s="155"/>
      <c r="U149" s="155"/>
      <c r="V149" s="4" t="s">
        <v>179</v>
      </c>
      <c r="W149" s="131">
        <v>23</v>
      </c>
      <c r="X149" s="131"/>
      <c r="Y149" s="131"/>
      <c r="Z149" s="4" t="s">
        <v>180</v>
      </c>
      <c r="AA149" s="114">
        <f>ROUND(K149*O149*S149*W149,3)</f>
        <v>7.245</v>
      </c>
      <c r="AB149" s="114"/>
      <c r="AC149" s="114"/>
      <c r="AD149" s="7" t="s">
        <v>181</v>
      </c>
    </row>
    <row r="150" ht="15.75" customHeight="1"/>
    <row r="151" spans="1:33" ht="15.75" customHeight="1">
      <c r="A151" s="156" t="s">
        <v>182</v>
      </c>
      <c r="B151" s="156"/>
      <c r="C151" s="156"/>
      <c r="D151" s="156"/>
      <c r="E151" s="156"/>
      <c r="F151" s="156"/>
      <c r="G151" s="156"/>
      <c r="H151" s="156"/>
      <c r="I151" s="156"/>
      <c r="J151" s="156"/>
      <c r="K151" s="156"/>
      <c r="L151" s="156"/>
      <c r="M151" s="156"/>
      <c r="N151" s="156"/>
      <c r="O151" s="156"/>
      <c r="P151" s="156"/>
      <c r="Q151" s="156"/>
      <c r="R151" s="156"/>
      <c r="S151" s="156"/>
      <c r="T151" s="157">
        <f>V98</f>
        <v>2</v>
      </c>
      <c r="U151" s="157"/>
      <c r="V151" s="158" t="s">
        <v>183</v>
      </c>
      <c r="W151" s="158"/>
      <c r="X151" s="158"/>
      <c r="Y151" s="158"/>
      <c r="Z151" s="158"/>
      <c r="AA151" s="158"/>
      <c r="AB151" s="158"/>
      <c r="AC151" s="158"/>
      <c r="AD151" s="158"/>
      <c r="AE151" s="158"/>
      <c r="AF151" s="158"/>
      <c r="AG151" s="158"/>
    </row>
    <row r="152" spans="1:33" ht="15.75" customHeight="1">
      <c r="A152" s="127" t="s">
        <v>65</v>
      </c>
      <c r="B152" s="127"/>
      <c r="C152" s="127"/>
      <c r="D152" s="127"/>
      <c r="E152" s="127"/>
      <c r="F152" s="127"/>
      <c r="G152" s="127" t="s">
        <v>66</v>
      </c>
      <c r="H152" s="127"/>
      <c r="I152" s="127"/>
      <c r="J152" s="127" t="s">
        <v>67</v>
      </c>
      <c r="K152" s="127"/>
      <c r="L152" s="127"/>
      <c r="M152" s="127"/>
      <c r="N152" s="127"/>
      <c r="O152" s="127"/>
      <c r="P152" s="127" t="s">
        <v>68</v>
      </c>
      <c r="Q152" s="127"/>
      <c r="R152" s="127"/>
      <c r="S152" s="127"/>
      <c r="T152" s="127"/>
      <c r="U152" s="127"/>
      <c r="V152" s="127" t="s">
        <v>69</v>
      </c>
      <c r="W152" s="127"/>
      <c r="X152" s="127"/>
      <c r="Y152" s="127"/>
      <c r="Z152" s="127"/>
      <c r="AA152" s="127"/>
      <c r="AB152" s="127" t="s">
        <v>70</v>
      </c>
      <c r="AC152" s="127"/>
      <c r="AD152" s="127"/>
      <c r="AE152" s="127"/>
      <c r="AF152" s="127"/>
      <c r="AG152" s="127"/>
    </row>
    <row r="153" spans="1:33" ht="15.75" customHeight="1">
      <c r="A153" s="127"/>
      <c r="B153" s="127"/>
      <c r="C153" s="127"/>
      <c r="D153" s="127"/>
      <c r="E153" s="127"/>
      <c r="F153" s="127"/>
      <c r="G153" s="127"/>
      <c r="H153" s="127"/>
      <c r="I153" s="127"/>
      <c r="J153" s="127" t="s">
        <v>73</v>
      </c>
      <c r="K153" s="127"/>
      <c r="L153" s="127"/>
      <c r="M153" s="127" t="s">
        <v>74</v>
      </c>
      <c r="N153" s="127"/>
      <c r="O153" s="127"/>
      <c r="P153" s="127" t="s">
        <v>75</v>
      </c>
      <c r="Q153" s="127"/>
      <c r="R153" s="127"/>
      <c r="S153" s="127" t="s">
        <v>76</v>
      </c>
      <c r="T153" s="127"/>
      <c r="U153" s="127"/>
      <c r="V153" s="127" t="s">
        <v>77</v>
      </c>
      <c r="W153" s="127"/>
      <c r="X153" s="127"/>
      <c r="Y153" s="127" t="s">
        <v>78</v>
      </c>
      <c r="Z153" s="127"/>
      <c r="AA153" s="127"/>
      <c r="AB153" s="127"/>
      <c r="AC153" s="127"/>
      <c r="AD153" s="127"/>
      <c r="AE153" s="127"/>
      <c r="AF153" s="127"/>
      <c r="AG153" s="127"/>
    </row>
    <row r="154" spans="1:33" ht="15.75" customHeight="1">
      <c r="A154" s="127" t="s">
        <v>82</v>
      </c>
      <c r="B154" s="127"/>
      <c r="C154" s="127"/>
      <c r="D154" s="127"/>
      <c r="E154" s="127"/>
      <c r="F154" s="127"/>
      <c r="G154" s="127" t="s">
        <v>184</v>
      </c>
      <c r="H154" s="127"/>
      <c r="I154" s="127"/>
      <c r="J154" s="159">
        <f>AK59</f>
        <v>4.58</v>
      </c>
      <c r="K154" s="159"/>
      <c r="L154" s="159"/>
      <c r="M154" s="127" t="s">
        <v>185</v>
      </c>
      <c r="N154" s="127"/>
      <c r="O154" s="127"/>
      <c r="P154" s="160">
        <f>AM59</f>
        <v>0.228</v>
      </c>
      <c r="Q154" s="160"/>
      <c r="R154" s="160"/>
      <c r="S154" s="127" t="s">
        <v>185</v>
      </c>
      <c r="T154" s="127"/>
      <c r="U154" s="127"/>
      <c r="V154" s="161">
        <f>ROUND(J154*P154,3)</f>
        <v>1.044</v>
      </c>
      <c r="W154" s="161"/>
      <c r="X154" s="161"/>
      <c r="Y154" s="162" t="s">
        <v>185</v>
      </c>
      <c r="Z154" s="162"/>
      <c r="AA154" s="162"/>
      <c r="AB154" s="163" t="s">
        <v>85</v>
      </c>
      <c r="AC154" s="164"/>
      <c r="AD154" s="164"/>
      <c r="AE154" s="164"/>
      <c r="AF154" s="164"/>
      <c r="AG154" s="165"/>
    </row>
    <row r="155" spans="1:33" ht="15.75" customHeight="1">
      <c r="A155" s="127" t="s">
        <v>88</v>
      </c>
      <c r="B155" s="127"/>
      <c r="C155" s="127"/>
      <c r="D155" s="127"/>
      <c r="E155" s="127"/>
      <c r="F155" s="127"/>
      <c r="G155" s="127" t="s">
        <v>186</v>
      </c>
      <c r="H155" s="127"/>
      <c r="I155" s="127"/>
      <c r="J155" s="171">
        <f>AK60</f>
        <v>12.6</v>
      </c>
      <c r="K155" s="172"/>
      <c r="L155" s="173"/>
      <c r="M155" s="127" t="s">
        <v>185</v>
      </c>
      <c r="N155" s="127"/>
      <c r="O155" s="127"/>
      <c r="P155" s="174">
        <f>AM60</f>
        <v>0.48</v>
      </c>
      <c r="Q155" s="175"/>
      <c r="R155" s="176"/>
      <c r="S155" s="127" t="s">
        <v>185</v>
      </c>
      <c r="T155" s="127"/>
      <c r="U155" s="127"/>
      <c r="V155" s="161">
        <f>ROUND(J155*P155,3)</f>
        <v>6.048</v>
      </c>
      <c r="W155" s="161"/>
      <c r="X155" s="161"/>
      <c r="Y155" s="162" t="s">
        <v>185</v>
      </c>
      <c r="Z155" s="162"/>
      <c r="AA155" s="162"/>
      <c r="AB155" s="166"/>
      <c r="AC155" s="125"/>
      <c r="AD155" s="125"/>
      <c r="AE155" s="125"/>
      <c r="AF155" s="125"/>
      <c r="AG155" s="167"/>
    </row>
    <row r="156" spans="1:33" ht="15.75" customHeight="1">
      <c r="A156" s="127" t="s">
        <v>92</v>
      </c>
      <c r="B156" s="127"/>
      <c r="C156" s="127"/>
      <c r="D156" s="127"/>
      <c r="E156" s="127"/>
      <c r="F156" s="127"/>
      <c r="G156" s="127" t="s">
        <v>187</v>
      </c>
      <c r="H156" s="127"/>
      <c r="I156" s="127"/>
      <c r="J156" s="171">
        <f>AK61</f>
        <v>7.5</v>
      </c>
      <c r="K156" s="172"/>
      <c r="L156" s="173"/>
      <c r="M156" s="127" t="s">
        <v>185</v>
      </c>
      <c r="N156" s="127"/>
      <c r="O156" s="127"/>
      <c r="P156" s="174">
        <f>AM61</f>
        <v>0.475</v>
      </c>
      <c r="Q156" s="175"/>
      <c r="R156" s="176"/>
      <c r="S156" s="127" t="s">
        <v>185</v>
      </c>
      <c r="T156" s="127"/>
      <c r="U156" s="127"/>
      <c r="V156" s="161">
        <f>ROUND(J156*P156,3)</f>
        <v>3.563</v>
      </c>
      <c r="W156" s="161"/>
      <c r="X156" s="161"/>
      <c r="Y156" s="162" t="s">
        <v>185</v>
      </c>
      <c r="Z156" s="162"/>
      <c r="AA156" s="162"/>
      <c r="AB156" s="166"/>
      <c r="AC156" s="125"/>
      <c r="AD156" s="125"/>
      <c r="AE156" s="125"/>
      <c r="AF156" s="125"/>
      <c r="AG156" s="167"/>
    </row>
    <row r="157" spans="1:33" ht="24" customHeight="1">
      <c r="A157" s="181" t="s">
        <v>96</v>
      </c>
      <c r="B157" s="182"/>
      <c r="C157" s="182"/>
      <c r="D157" s="182"/>
      <c r="E157" s="182"/>
      <c r="F157" s="182"/>
      <c r="G157" s="127" t="s">
        <v>188</v>
      </c>
      <c r="H157" s="127"/>
      <c r="I157" s="127"/>
      <c r="J157" s="127" t="s">
        <v>185</v>
      </c>
      <c r="K157" s="127"/>
      <c r="L157" s="127"/>
      <c r="M157" s="171">
        <f>AL62</f>
        <v>6.51</v>
      </c>
      <c r="N157" s="172"/>
      <c r="O157" s="173"/>
      <c r="P157" s="127" t="s">
        <v>185</v>
      </c>
      <c r="Q157" s="127"/>
      <c r="R157" s="127"/>
      <c r="S157" s="174">
        <f>AN62</f>
        <v>0.333</v>
      </c>
      <c r="T157" s="175"/>
      <c r="U157" s="176"/>
      <c r="V157" s="162" t="s">
        <v>185</v>
      </c>
      <c r="W157" s="162"/>
      <c r="X157" s="162"/>
      <c r="Y157" s="161">
        <f>ROUND(M157*S157,3)</f>
        <v>2.168</v>
      </c>
      <c r="Z157" s="161"/>
      <c r="AA157" s="161"/>
      <c r="AB157" s="168"/>
      <c r="AC157" s="169"/>
      <c r="AD157" s="169"/>
      <c r="AE157" s="169"/>
      <c r="AF157" s="169"/>
      <c r="AG157" s="170"/>
    </row>
    <row r="158" spans="1:33" ht="15.75" customHeight="1">
      <c r="A158" s="177" t="s">
        <v>100</v>
      </c>
      <c r="B158" s="178"/>
      <c r="C158" s="178"/>
      <c r="D158" s="178"/>
      <c r="E158" s="178"/>
      <c r="F158" s="178"/>
      <c r="G158" s="178"/>
      <c r="H158" s="178"/>
      <c r="I158" s="179"/>
      <c r="J158" s="180">
        <f>SUM(J154:L157)</f>
        <v>24.68</v>
      </c>
      <c r="K158" s="180"/>
      <c r="L158" s="180"/>
      <c r="M158" s="180">
        <f>SUM(M154:O157)</f>
        <v>6.51</v>
      </c>
      <c r="N158" s="180"/>
      <c r="O158" s="180"/>
      <c r="P158" s="162" t="s">
        <v>185</v>
      </c>
      <c r="Q158" s="162"/>
      <c r="R158" s="162"/>
      <c r="S158" s="162" t="s">
        <v>185</v>
      </c>
      <c r="T158" s="162"/>
      <c r="U158" s="162"/>
      <c r="V158" s="161">
        <f>SUM(V154:X157)</f>
        <v>10.655000000000001</v>
      </c>
      <c r="W158" s="161"/>
      <c r="X158" s="161"/>
      <c r="Y158" s="161">
        <f>SUM(Y154:AA157)</f>
        <v>2.168</v>
      </c>
      <c r="Z158" s="161"/>
      <c r="AA158" s="161"/>
      <c r="AB158" s="180"/>
      <c r="AC158" s="180"/>
      <c r="AD158" s="180"/>
      <c r="AE158" s="180"/>
      <c r="AF158" s="180"/>
      <c r="AG158" s="180"/>
    </row>
    <row r="159" spans="1:33" ht="15.75" customHeight="1">
      <c r="A159" s="127" t="s">
        <v>159</v>
      </c>
      <c r="B159" s="127"/>
      <c r="C159" s="127"/>
      <c r="D159" s="127"/>
      <c r="E159" s="127"/>
      <c r="F159" s="127"/>
      <c r="G159" s="127" t="s">
        <v>189</v>
      </c>
      <c r="H159" s="127"/>
      <c r="I159" s="127"/>
      <c r="J159" s="180">
        <f>ROUND(S146,2)</f>
        <v>7.96</v>
      </c>
      <c r="K159" s="180"/>
      <c r="L159" s="180"/>
      <c r="M159" s="162" t="s">
        <v>185</v>
      </c>
      <c r="N159" s="162"/>
      <c r="O159" s="162"/>
      <c r="P159" s="162" t="s">
        <v>185</v>
      </c>
      <c r="Q159" s="162"/>
      <c r="R159" s="162"/>
      <c r="S159" s="162" t="s">
        <v>185</v>
      </c>
      <c r="T159" s="162"/>
      <c r="U159" s="162"/>
      <c r="V159" s="162" t="s">
        <v>185</v>
      </c>
      <c r="W159" s="162"/>
      <c r="X159" s="162"/>
      <c r="Y159" s="162" t="s">
        <v>185</v>
      </c>
      <c r="Z159" s="162"/>
      <c r="AA159" s="162"/>
      <c r="AB159" s="180"/>
      <c r="AC159" s="180"/>
      <c r="AD159" s="180"/>
      <c r="AE159" s="180"/>
      <c r="AF159" s="180"/>
      <c r="AG159" s="180"/>
    </row>
    <row r="160" spans="1:33" ht="15.75" customHeight="1">
      <c r="A160" s="177" t="s">
        <v>190</v>
      </c>
      <c r="B160" s="178"/>
      <c r="C160" s="178"/>
      <c r="D160" s="178"/>
      <c r="E160" s="178"/>
      <c r="F160" s="178"/>
      <c r="G160" s="178"/>
      <c r="H160" s="178"/>
      <c r="I160" s="179"/>
      <c r="J160" s="180">
        <f>J158+J159</f>
        <v>32.64</v>
      </c>
      <c r="K160" s="180"/>
      <c r="L160" s="180"/>
      <c r="M160" s="180">
        <f>M158</f>
        <v>6.51</v>
      </c>
      <c r="N160" s="180"/>
      <c r="O160" s="180"/>
      <c r="P160" s="162" t="s">
        <v>185</v>
      </c>
      <c r="Q160" s="162"/>
      <c r="R160" s="162"/>
      <c r="S160" s="162" t="s">
        <v>185</v>
      </c>
      <c r="T160" s="162"/>
      <c r="U160" s="162"/>
      <c r="V160" s="162" t="s">
        <v>185</v>
      </c>
      <c r="W160" s="162"/>
      <c r="X160" s="162"/>
      <c r="Y160" s="162" t="s">
        <v>185</v>
      </c>
      <c r="Z160" s="162"/>
      <c r="AA160" s="162"/>
      <c r="AB160" s="180"/>
      <c r="AC160" s="180"/>
      <c r="AD160" s="180"/>
      <c r="AE160" s="180"/>
      <c r="AF160" s="180"/>
      <c r="AG160" s="180"/>
    </row>
    <row r="161" ht="15.75" customHeight="1"/>
    <row r="162" ht="15.75" customHeight="1">
      <c r="B162" s="3" t="s">
        <v>191</v>
      </c>
    </row>
    <row r="163" spans="3:26" ht="15.75" customHeight="1">
      <c r="C163" s="116" t="s">
        <v>192</v>
      </c>
      <c r="D163" s="116"/>
      <c r="E163" s="116" t="s">
        <v>180</v>
      </c>
      <c r="F163" s="118" t="s">
        <v>193</v>
      </c>
      <c r="G163" s="118"/>
      <c r="H163" s="118"/>
      <c r="I163" s="28" t="s">
        <v>185</v>
      </c>
      <c r="J163" s="118" t="s">
        <v>194</v>
      </c>
      <c r="K163" s="118"/>
      <c r="L163" s="118"/>
      <c r="M163" s="116" t="s">
        <v>180</v>
      </c>
      <c r="N163" s="183">
        <f>V158</f>
        <v>10.655000000000001</v>
      </c>
      <c r="O163" s="183"/>
      <c r="P163" s="183"/>
      <c r="Q163" s="28" t="s">
        <v>185</v>
      </c>
      <c r="R163" s="183">
        <f>Y158</f>
        <v>2.168</v>
      </c>
      <c r="S163" s="183"/>
      <c r="T163" s="183"/>
      <c r="U163" s="116" t="s">
        <v>180</v>
      </c>
      <c r="V163" s="114">
        <f>ROUND((N163-R163)/P164,3)</f>
        <v>0.344</v>
      </c>
      <c r="W163" s="114"/>
      <c r="X163" s="114"/>
      <c r="Y163" s="120" t="s">
        <v>195</v>
      </c>
      <c r="Z163" s="120"/>
    </row>
    <row r="164" spans="3:26" ht="15.75" customHeight="1">
      <c r="C164" s="116"/>
      <c r="D164" s="116"/>
      <c r="E164" s="116"/>
      <c r="F164" s="116" t="s">
        <v>196</v>
      </c>
      <c r="G164" s="116"/>
      <c r="H164" s="116"/>
      <c r="I164" s="116"/>
      <c r="J164" s="116"/>
      <c r="K164" s="116"/>
      <c r="L164" s="116"/>
      <c r="M164" s="116"/>
      <c r="N164" s="27"/>
      <c r="O164" s="27"/>
      <c r="P164" s="184">
        <f>J158</f>
        <v>24.68</v>
      </c>
      <c r="Q164" s="184"/>
      <c r="R164" s="184"/>
      <c r="S164" s="27"/>
      <c r="T164" s="27"/>
      <c r="U164" s="116"/>
      <c r="V164" s="114"/>
      <c r="W164" s="114"/>
      <c r="X164" s="114"/>
      <c r="Y164" s="120"/>
      <c r="Z164" s="120"/>
    </row>
    <row r="165" ht="15.75" customHeight="1">
      <c r="B165" s="3" t="s">
        <v>197</v>
      </c>
    </row>
    <row r="166" spans="3:26" ht="15.75" customHeight="1">
      <c r="C166" s="116" t="s">
        <v>198</v>
      </c>
      <c r="D166" s="116"/>
      <c r="E166" s="116" t="s">
        <v>180</v>
      </c>
      <c r="F166" s="118" t="s">
        <v>2</v>
      </c>
      <c r="G166" s="118"/>
      <c r="H166" s="118"/>
      <c r="I166" s="116" t="s">
        <v>185</v>
      </c>
      <c r="J166" s="116" t="s">
        <v>192</v>
      </c>
      <c r="K166" s="116"/>
      <c r="L166" s="116"/>
      <c r="M166" s="116" t="s">
        <v>180</v>
      </c>
      <c r="N166" s="119">
        <f>L49/1000</f>
        <v>0.85</v>
      </c>
      <c r="O166" s="119"/>
      <c r="P166" s="119"/>
      <c r="Q166" s="116" t="s">
        <v>185</v>
      </c>
      <c r="R166" s="185">
        <f>V163</f>
        <v>0.344</v>
      </c>
      <c r="S166" s="185"/>
      <c r="T166" s="185"/>
      <c r="U166" s="116" t="s">
        <v>180</v>
      </c>
      <c r="V166" s="114">
        <f>ROUND(N166/N167-R166,3)</f>
        <v>0.081</v>
      </c>
      <c r="W166" s="114"/>
      <c r="X166" s="114"/>
      <c r="Y166" s="120" t="s">
        <v>195</v>
      </c>
      <c r="Z166" s="120"/>
    </row>
    <row r="167" spans="3:26" ht="15.75" customHeight="1">
      <c r="C167" s="116"/>
      <c r="D167" s="116"/>
      <c r="E167" s="116"/>
      <c r="F167" s="116">
        <v>2</v>
      </c>
      <c r="G167" s="116"/>
      <c r="H167" s="116"/>
      <c r="I167" s="116"/>
      <c r="J167" s="116"/>
      <c r="K167" s="116"/>
      <c r="L167" s="116"/>
      <c r="M167" s="116"/>
      <c r="N167" s="116">
        <v>2</v>
      </c>
      <c r="O167" s="116"/>
      <c r="P167" s="116"/>
      <c r="Q167" s="116"/>
      <c r="R167" s="185"/>
      <c r="S167" s="185"/>
      <c r="T167" s="185"/>
      <c r="U167" s="116"/>
      <c r="V167" s="114"/>
      <c r="W167" s="114"/>
      <c r="X167" s="114"/>
      <c r="Y167" s="120"/>
      <c r="Z167" s="120"/>
    </row>
    <row r="168" spans="2:33" ht="15.75" customHeight="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row>
    <row r="169" ht="15.75" customHeight="1">
      <c r="A169" s="2" t="s">
        <v>199</v>
      </c>
    </row>
    <row r="170" ht="15.75" customHeight="1"/>
    <row r="171" spans="1:33" ht="15.75" customHeight="1">
      <c r="A171" s="156" t="s">
        <v>200</v>
      </c>
      <c r="B171" s="156"/>
      <c r="C171" s="156"/>
      <c r="D171" s="156"/>
      <c r="E171" s="156"/>
      <c r="F171" s="156"/>
      <c r="G171" s="156"/>
      <c r="H171" s="156"/>
      <c r="I171" s="156"/>
      <c r="J171" s="156"/>
      <c r="K171" s="156"/>
      <c r="L171" s="156"/>
      <c r="M171" s="156"/>
      <c r="N171" s="156"/>
      <c r="O171" s="156"/>
      <c r="P171" s="156"/>
      <c r="Q171" s="156"/>
      <c r="R171" s="156"/>
      <c r="S171" s="156"/>
      <c r="T171" s="157">
        <f>V98</f>
        <v>2</v>
      </c>
      <c r="U171" s="157"/>
      <c r="V171" s="158" t="s">
        <v>183</v>
      </c>
      <c r="W171" s="158"/>
      <c r="X171" s="158"/>
      <c r="Y171" s="158"/>
      <c r="Z171" s="158"/>
      <c r="AA171" s="158"/>
      <c r="AB171" s="158"/>
      <c r="AC171" s="158"/>
      <c r="AD171" s="158"/>
      <c r="AE171" s="158"/>
      <c r="AF171" s="158"/>
      <c r="AG171" s="158"/>
    </row>
    <row r="172" spans="1:33" ht="15.75" customHeight="1">
      <c r="A172" s="127" t="s">
        <v>65</v>
      </c>
      <c r="B172" s="127"/>
      <c r="C172" s="127"/>
      <c r="D172" s="127"/>
      <c r="E172" s="127"/>
      <c r="F172" s="127"/>
      <c r="G172" s="127" t="s">
        <v>66</v>
      </c>
      <c r="H172" s="127"/>
      <c r="I172" s="127"/>
      <c r="J172" s="127" t="s">
        <v>67</v>
      </c>
      <c r="K172" s="127"/>
      <c r="L172" s="127"/>
      <c r="M172" s="127"/>
      <c r="N172" s="127"/>
      <c r="O172" s="127"/>
      <c r="P172" s="127" t="s">
        <v>68</v>
      </c>
      <c r="Q172" s="127"/>
      <c r="R172" s="127"/>
      <c r="S172" s="127"/>
      <c r="T172" s="127"/>
      <c r="U172" s="127"/>
      <c r="V172" s="127" t="s">
        <v>69</v>
      </c>
      <c r="W172" s="127"/>
      <c r="X172" s="127"/>
      <c r="Y172" s="127"/>
      <c r="Z172" s="127"/>
      <c r="AA172" s="127"/>
      <c r="AB172" s="127" t="s">
        <v>70</v>
      </c>
      <c r="AC172" s="127"/>
      <c r="AD172" s="127"/>
      <c r="AE172" s="127"/>
      <c r="AF172" s="127"/>
      <c r="AG172" s="127"/>
    </row>
    <row r="173" spans="1:33" ht="15.75" customHeight="1">
      <c r="A173" s="127"/>
      <c r="B173" s="127"/>
      <c r="C173" s="127"/>
      <c r="D173" s="127"/>
      <c r="E173" s="127"/>
      <c r="F173" s="127"/>
      <c r="G173" s="127"/>
      <c r="H173" s="127"/>
      <c r="I173" s="127"/>
      <c r="J173" s="127" t="s">
        <v>73</v>
      </c>
      <c r="K173" s="127"/>
      <c r="L173" s="127"/>
      <c r="M173" s="127" t="s">
        <v>74</v>
      </c>
      <c r="N173" s="127"/>
      <c r="O173" s="127"/>
      <c r="P173" s="127" t="s">
        <v>75</v>
      </c>
      <c r="Q173" s="127"/>
      <c r="R173" s="127"/>
      <c r="S173" s="127" t="s">
        <v>76</v>
      </c>
      <c r="T173" s="127"/>
      <c r="U173" s="127"/>
      <c r="V173" s="127" t="s">
        <v>77</v>
      </c>
      <c r="W173" s="127"/>
      <c r="X173" s="127"/>
      <c r="Y173" s="127" t="s">
        <v>78</v>
      </c>
      <c r="Z173" s="127"/>
      <c r="AA173" s="127"/>
      <c r="AB173" s="127"/>
      <c r="AC173" s="127"/>
      <c r="AD173" s="127"/>
      <c r="AE173" s="127"/>
      <c r="AF173" s="127"/>
      <c r="AG173" s="127"/>
    </row>
    <row r="174" spans="1:33" ht="15.75" customHeight="1">
      <c r="A174" s="127" t="s">
        <v>82</v>
      </c>
      <c r="B174" s="127"/>
      <c r="C174" s="127"/>
      <c r="D174" s="127"/>
      <c r="E174" s="127"/>
      <c r="F174" s="127"/>
      <c r="G174" s="127" t="s">
        <v>184</v>
      </c>
      <c r="H174" s="127"/>
      <c r="I174" s="127"/>
      <c r="J174" s="180">
        <f>J154</f>
        <v>4.58</v>
      </c>
      <c r="K174" s="180"/>
      <c r="L174" s="180"/>
      <c r="M174" s="127" t="s">
        <v>185</v>
      </c>
      <c r="N174" s="127"/>
      <c r="O174" s="127"/>
      <c r="P174" s="161">
        <f>P154</f>
        <v>0.228</v>
      </c>
      <c r="Q174" s="161"/>
      <c r="R174" s="161"/>
      <c r="S174" s="162" t="str">
        <f>S154</f>
        <v>－</v>
      </c>
      <c r="T174" s="162"/>
      <c r="U174" s="162"/>
      <c r="V174" s="161">
        <f>ROUND(J174*P174,3)</f>
        <v>1.044</v>
      </c>
      <c r="W174" s="161"/>
      <c r="X174" s="161"/>
      <c r="Y174" s="162" t="s">
        <v>185</v>
      </c>
      <c r="Z174" s="162"/>
      <c r="AA174" s="162"/>
      <c r="AB174" s="163" t="s">
        <v>85</v>
      </c>
      <c r="AC174" s="164"/>
      <c r="AD174" s="164"/>
      <c r="AE174" s="164"/>
      <c r="AF174" s="164"/>
      <c r="AG174" s="165"/>
    </row>
    <row r="175" spans="1:33" ht="15.75" customHeight="1">
      <c r="A175" s="127" t="s">
        <v>88</v>
      </c>
      <c r="B175" s="127"/>
      <c r="C175" s="127"/>
      <c r="D175" s="127"/>
      <c r="E175" s="127"/>
      <c r="F175" s="127"/>
      <c r="G175" s="127" t="s">
        <v>186</v>
      </c>
      <c r="H175" s="127"/>
      <c r="I175" s="127"/>
      <c r="J175" s="180">
        <f>J155</f>
        <v>12.6</v>
      </c>
      <c r="K175" s="180"/>
      <c r="L175" s="180"/>
      <c r="M175" s="127" t="s">
        <v>185</v>
      </c>
      <c r="N175" s="127"/>
      <c r="O175" s="127"/>
      <c r="P175" s="161">
        <f>P155</f>
        <v>0.48</v>
      </c>
      <c r="Q175" s="161"/>
      <c r="R175" s="161"/>
      <c r="S175" s="162" t="str">
        <f>S155</f>
        <v>－</v>
      </c>
      <c r="T175" s="162"/>
      <c r="U175" s="162"/>
      <c r="V175" s="161">
        <f>ROUND(J175*P175,3)</f>
        <v>6.048</v>
      </c>
      <c r="W175" s="161"/>
      <c r="X175" s="161"/>
      <c r="Y175" s="162" t="s">
        <v>84</v>
      </c>
      <c r="Z175" s="162"/>
      <c r="AA175" s="162"/>
      <c r="AB175" s="166"/>
      <c r="AC175" s="125"/>
      <c r="AD175" s="125"/>
      <c r="AE175" s="125"/>
      <c r="AF175" s="125"/>
      <c r="AG175" s="167"/>
    </row>
    <row r="176" spans="1:33" ht="15.75" customHeight="1">
      <c r="A176" s="127" t="s">
        <v>92</v>
      </c>
      <c r="B176" s="127"/>
      <c r="C176" s="127"/>
      <c r="D176" s="127"/>
      <c r="E176" s="127"/>
      <c r="F176" s="127"/>
      <c r="G176" s="127" t="s">
        <v>93</v>
      </c>
      <c r="H176" s="127"/>
      <c r="I176" s="127"/>
      <c r="J176" s="159">
        <v>0</v>
      </c>
      <c r="K176" s="159"/>
      <c r="L176" s="159"/>
      <c r="M176" s="127" t="s">
        <v>84</v>
      </c>
      <c r="N176" s="127"/>
      <c r="O176" s="127"/>
      <c r="P176" s="161">
        <f>P156</f>
        <v>0.475</v>
      </c>
      <c r="Q176" s="161"/>
      <c r="R176" s="161"/>
      <c r="S176" s="162" t="str">
        <f>S156</f>
        <v>－</v>
      </c>
      <c r="T176" s="162"/>
      <c r="U176" s="162"/>
      <c r="V176" s="127" t="s">
        <v>84</v>
      </c>
      <c r="W176" s="127"/>
      <c r="X176" s="127"/>
      <c r="Y176" s="162" t="s">
        <v>84</v>
      </c>
      <c r="Z176" s="162"/>
      <c r="AA176" s="162"/>
      <c r="AB176" s="166"/>
      <c r="AC176" s="125"/>
      <c r="AD176" s="125"/>
      <c r="AE176" s="125"/>
      <c r="AF176" s="125"/>
      <c r="AG176" s="167"/>
    </row>
    <row r="177" spans="1:33" ht="24" customHeight="1">
      <c r="A177" s="181" t="s">
        <v>96</v>
      </c>
      <c r="B177" s="182"/>
      <c r="C177" s="182"/>
      <c r="D177" s="182"/>
      <c r="E177" s="182"/>
      <c r="F177" s="182"/>
      <c r="G177" s="127" t="s">
        <v>97</v>
      </c>
      <c r="H177" s="127"/>
      <c r="I177" s="127"/>
      <c r="J177" s="127" t="s">
        <v>84</v>
      </c>
      <c r="K177" s="127"/>
      <c r="L177" s="127"/>
      <c r="M177" s="180">
        <f>M157</f>
        <v>6.51</v>
      </c>
      <c r="N177" s="180"/>
      <c r="O177" s="180"/>
      <c r="P177" s="162" t="str">
        <f>P157</f>
        <v>－</v>
      </c>
      <c r="Q177" s="162"/>
      <c r="R177" s="162"/>
      <c r="S177" s="161">
        <f>S157</f>
        <v>0.333</v>
      </c>
      <c r="T177" s="161"/>
      <c r="U177" s="161"/>
      <c r="V177" s="162" t="s">
        <v>185</v>
      </c>
      <c r="W177" s="162"/>
      <c r="X177" s="162"/>
      <c r="Y177" s="161">
        <f>ROUND(M177*S177,3)</f>
        <v>2.168</v>
      </c>
      <c r="Z177" s="161"/>
      <c r="AA177" s="161"/>
      <c r="AB177" s="168"/>
      <c r="AC177" s="169"/>
      <c r="AD177" s="169"/>
      <c r="AE177" s="169"/>
      <c r="AF177" s="169"/>
      <c r="AG177" s="170"/>
    </row>
    <row r="178" spans="1:33" ht="15.75" customHeight="1">
      <c r="A178" s="177" t="s">
        <v>100</v>
      </c>
      <c r="B178" s="178"/>
      <c r="C178" s="178"/>
      <c r="D178" s="178"/>
      <c r="E178" s="178"/>
      <c r="F178" s="178"/>
      <c r="G178" s="178"/>
      <c r="H178" s="178"/>
      <c r="I178" s="179"/>
      <c r="J178" s="180">
        <f>SUM(J174:L177)</f>
        <v>17.18</v>
      </c>
      <c r="K178" s="180"/>
      <c r="L178" s="180"/>
      <c r="M178" s="180">
        <f>SUM(M174:O177)</f>
        <v>6.51</v>
      </c>
      <c r="N178" s="180"/>
      <c r="O178" s="180"/>
      <c r="P178" s="162" t="s">
        <v>185</v>
      </c>
      <c r="Q178" s="162"/>
      <c r="R178" s="162"/>
      <c r="S178" s="162" t="s">
        <v>185</v>
      </c>
      <c r="T178" s="162"/>
      <c r="U178" s="162"/>
      <c r="V178" s="161">
        <f>SUM(V174:X177)</f>
        <v>7.0920000000000005</v>
      </c>
      <c r="W178" s="161"/>
      <c r="X178" s="161"/>
      <c r="Y178" s="161">
        <f>SUM(Y174:AA177)</f>
        <v>2.168</v>
      </c>
      <c r="Z178" s="161"/>
      <c r="AA178" s="161"/>
      <c r="AB178" s="180"/>
      <c r="AC178" s="180"/>
      <c r="AD178" s="180"/>
      <c r="AE178" s="180"/>
      <c r="AF178" s="180"/>
      <c r="AG178" s="180"/>
    </row>
    <row r="179" spans="1:33" ht="15.75" customHeight="1">
      <c r="A179" s="127" t="s">
        <v>159</v>
      </c>
      <c r="B179" s="127"/>
      <c r="C179" s="127"/>
      <c r="D179" s="127"/>
      <c r="E179" s="127"/>
      <c r="F179" s="127"/>
      <c r="G179" s="127" t="s">
        <v>189</v>
      </c>
      <c r="H179" s="127"/>
      <c r="I179" s="127"/>
      <c r="J179" s="180">
        <f>J159</f>
        <v>7.96</v>
      </c>
      <c r="K179" s="180"/>
      <c r="L179" s="180"/>
      <c r="M179" s="162" t="s">
        <v>84</v>
      </c>
      <c r="N179" s="162"/>
      <c r="O179" s="162"/>
      <c r="P179" s="162" t="s">
        <v>84</v>
      </c>
      <c r="Q179" s="162"/>
      <c r="R179" s="162"/>
      <c r="S179" s="162" t="s">
        <v>84</v>
      </c>
      <c r="T179" s="162"/>
      <c r="U179" s="162"/>
      <c r="V179" s="162" t="s">
        <v>84</v>
      </c>
      <c r="W179" s="162"/>
      <c r="X179" s="162"/>
      <c r="Y179" s="162" t="s">
        <v>84</v>
      </c>
      <c r="Z179" s="162"/>
      <c r="AA179" s="162"/>
      <c r="AB179" s="180"/>
      <c r="AC179" s="180"/>
      <c r="AD179" s="180"/>
      <c r="AE179" s="180"/>
      <c r="AF179" s="180"/>
      <c r="AG179" s="180"/>
    </row>
    <row r="180" spans="1:33" ht="15.75" customHeight="1">
      <c r="A180" s="177" t="s">
        <v>190</v>
      </c>
      <c r="B180" s="178"/>
      <c r="C180" s="178"/>
      <c r="D180" s="178"/>
      <c r="E180" s="178"/>
      <c r="F180" s="178"/>
      <c r="G180" s="178"/>
      <c r="H180" s="178"/>
      <c r="I180" s="179"/>
      <c r="J180" s="180">
        <f>J178+J179</f>
        <v>25.14</v>
      </c>
      <c r="K180" s="180"/>
      <c r="L180" s="180"/>
      <c r="M180" s="180">
        <f>M178</f>
        <v>6.51</v>
      </c>
      <c r="N180" s="180"/>
      <c r="O180" s="180"/>
      <c r="P180" s="162" t="s">
        <v>84</v>
      </c>
      <c r="Q180" s="162"/>
      <c r="R180" s="162"/>
      <c r="S180" s="162" t="s">
        <v>84</v>
      </c>
      <c r="T180" s="162"/>
      <c r="U180" s="162"/>
      <c r="V180" s="162" t="s">
        <v>84</v>
      </c>
      <c r="W180" s="162"/>
      <c r="X180" s="162"/>
      <c r="Y180" s="162" t="s">
        <v>84</v>
      </c>
      <c r="Z180" s="162"/>
      <c r="AA180" s="162"/>
      <c r="AB180" s="180"/>
      <c r="AC180" s="180"/>
      <c r="AD180" s="180"/>
      <c r="AE180" s="180"/>
      <c r="AF180" s="180"/>
      <c r="AG180" s="180"/>
    </row>
    <row r="181" ht="15.75" customHeight="1"/>
    <row r="182" ht="15.75" customHeight="1">
      <c r="B182" s="3" t="s">
        <v>191</v>
      </c>
    </row>
    <row r="183" spans="3:26" ht="15.75" customHeight="1">
      <c r="C183" s="116" t="s">
        <v>201</v>
      </c>
      <c r="D183" s="116"/>
      <c r="E183" s="116" t="s">
        <v>163</v>
      </c>
      <c r="F183" s="118" t="s">
        <v>202</v>
      </c>
      <c r="G183" s="118"/>
      <c r="H183" s="118"/>
      <c r="I183" s="28" t="s">
        <v>84</v>
      </c>
      <c r="J183" s="118" t="s">
        <v>203</v>
      </c>
      <c r="K183" s="118"/>
      <c r="L183" s="118"/>
      <c r="M183" s="116" t="s">
        <v>163</v>
      </c>
      <c r="N183" s="183">
        <f>V178</f>
        <v>7.0920000000000005</v>
      </c>
      <c r="O183" s="183"/>
      <c r="P183" s="183"/>
      <c r="Q183" s="28" t="s">
        <v>84</v>
      </c>
      <c r="R183" s="183">
        <f>Y178</f>
        <v>2.168</v>
      </c>
      <c r="S183" s="183"/>
      <c r="T183" s="183"/>
      <c r="U183" s="116" t="s">
        <v>180</v>
      </c>
      <c r="V183" s="114">
        <f>ROUND((N183-R183)/P184,3)</f>
        <v>0.287</v>
      </c>
      <c r="W183" s="114"/>
      <c r="X183" s="114"/>
      <c r="Y183" s="120" t="s">
        <v>195</v>
      </c>
      <c r="Z183" s="120"/>
    </row>
    <row r="184" spans="3:26" ht="15.75" customHeight="1">
      <c r="C184" s="116"/>
      <c r="D184" s="116"/>
      <c r="E184" s="116"/>
      <c r="F184" s="116" t="s">
        <v>196</v>
      </c>
      <c r="G184" s="116"/>
      <c r="H184" s="116"/>
      <c r="I184" s="116"/>
      <c r="J184" s="116"/>
      <c r="K184" s="116"/>
      <c r="L184" s="116"/>
      <c r="M184" s="116"/>
      <c r="N184" s="27"/>
      <c r="O184" s="27"/>
      <c r="P184" s="184">
        <f>J178</f>
        <v>17.18</v>
      </c>
      <c r="Q184" s="184"/>
      <c r="R184" s="184"/>
      <c r="S184" s="27"/>
      <c r="T184" s="27"/>
      <c r="U184" s="116"/>
      <c r="V184" s="114"/>
      <c r="W184" s="114"/>
      <c r="X184" s="114"/>
      <c r="Y184" s="120"/>
      <c r="Z184" s="120"/>
    </row>
    <row r="185" ht="15.75" customHeight="1">
      <c r="B185" s="3" t="s">
        <v>204</v>
      </c>
    </row>
    <row r="186" spans="3:26" ht="15.75" customHeight="1">
      <c r="C186" s="116" t="s">
        <v>205</v>
      </c>
      <c r="D186" s="116"/>
      <c r="E186" s="116" t="s">
        <v>163</v>
      </c>
      <c r="F186" s="118" t="s">
        <v>206</v>
      </c>
      <c r="G186" s="118"/>
      <c r="H186" s="118"/>
      <c r="I186" s="116" t="s">
        <v>84</v>
      </c>
      <c r="J186" s="116" t="s">
        <v>201</v>
      </c>
      <c r="K186" s="116"/>
      <c r="L186" s="116"/>
      <c r="M186" s="116" t="s">
        <v>163</v>
      </c>
      <c r="N186" s="119">
        <f>N166</f>
        <v>0.85</v>
      </c>
      <c r="O186" s="119"/>
      <c r="P186" s="119"/>
      <c r="Q186" s="116" t="s">
        <v>84</v>
      </c>
      <c r="R186" s="185">
        <f>V183</f>
        <v>0.287</v>
      </c>
      <c r="S186" s="185"/>
      <c r="T186" s="185"/>
      <c r="U186" s="116" t="s">
        <v>163</v>
      </c>
      <c r="V186" s="114">
        <f>ROUND(N186/N187-R186,3)</f>
        <v>0.138</v>
      </c>
      <c r="W186" s="114"/>
      <c r="X186" s="114"/>
      <c r="Y186" s="120" t="s">
        <v>124</v>
      </c>
      <c r="Z186" s="120"/>
    </row>
    <row r="187" spans="3:26" ht="15.75" customHeight="1">
      <c r="C187" s="116"/>
      <c r="D187" s="116"/>
      <c r="E187" s="116"/>
      <c r="F187" s="116">
        <v>2</v>
      </c>
      <c r="G187" s="116"/>
      <c r="H187" s="116"/>
      <c r="I187" s="116"/>
      <c r="J187" s="116"/>
      <c r="K187" s="116"/>
      <c r="L187" s="116"/>
      <c r="M187" s="116"/>
      <c r="N187" s="116">
        <v>2</v>
      </c>
      <c r="O187" s="116"/>
      <c r="P187" s="116"/>
      <c r="Q187" s="116"/>
      <c r="R187" s="185"/>
      <c r="S187" s="185"/>
      <c r="T187" s="185"/>
      <c r="U187" s="116"/>
      <c r="V187" s="114"/>
      <c r="W187" s="114"/>
      <c r="X187" s="114"/>
      <c r="Y187" s="120"/>
      <c r="Z187" s="120"/>
    </row>
    <row r="188" ht="15.75" customHeight="1">
      <c r="A188" s="2" t="s">
        <v>16</v>
      </c>
    </row>
    <row r="189" spans="1:33" ht="15.75" customHeight="1">
      <c r="A189" s="23"/>
      <c r="B189" s="7"/>
      <c r="C189" s="7"/>
      <c r="D189" s="30"/>
      <c r="E189" s="7"/>
      <c r="F189" s="7"/>
      <c r="G189" s="30"/>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ht="15.75" customHeight="1">
      <c r="A190" s="23"/>
      <c r="B190" s="125" t="s">
        <v>497</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row>
    <row r="191" spans="1:33" ht="15.75" customHeight="1">
      <c r="A191" s="23"/>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row>
    <row r="192" spans="1:33" ht="15.75" customHeight="1">
      <c r="A192" s="23"/>
      <c r="B192" s="7"/>
      <c r="C192" s="7"/>
      <c r="D192" s="30"/>
      <c r="E192" s="7"/>
      <c r="F192" s="7"/>
      <c r="G192" s="30"/>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1:33" ht="15.75" customHeight="1">
      <c r="A193" s="23"/>
      <c r="B193" s="7" t="s">
        <v>207</v>
      </c>
      <c r="C193" s="7"/>
      <c r="D193" s="30"/>
      <c r="E193" s="7"/>
      <c r="F193" s="7"/>
      <c r="G193" s="30"/>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1:33" ht="15.75" customHeight="1">
      <c r="A194" s="23"/>
      <c r="B194" s="7"/>
      <c r="C194" s="116" t="s">
        <v>208</v>
      </c>
      <c r="D194" s="116"/>
      <c r="E194" s="116" t="s">
        <v>163</v>
      </c>
      <c r="F194" s="118" t="s">
        <v>209</v>
      </c>
      <c r="G194" s="118"/>
      <c r="H194" s="118"/>
      <c r="I194" s="4"/>
      <c r="J194" s="116" t="s">
        <v>210</v>
      </c>
      <c r="K194" s="116"/>
      <c r="L194" s="116"/>
      <c r="M194" s="116"/>
      <c r="N194" s="123" t="s">
        <v>211</v>
      </c>
      <c r="O194" s="123"/>
      <c r="P194" s="123"/>
      <c r="Q194" s="123"/>
      <c r="R194" s="123"/>
      <c r="S194" s="123"/>
      <c r="T194" s="123"/>
      <c r="U194" s="7"/>
      <c r="V194" s="7"/>
      <c r="W194" s="7"/>
      <c r="X194" s="7"/>
      <c r="Y194" s="7"/>
      <c r="Z194" s="7"/>
      <c r="AA194" s="7"/>
      <c r="AB194" s="7"/>
      <c r="AC194" s="7"/>
      <c r="AD194" s="7"/>
      <c r="AE194" s="7"/>
      <c r="AF194" s="7"/>
      <c r="AG194" s="7"/>
    </row>
    <row r="195" spans="1:33" ht="15.75" customHeight="1">
      <c r="A195" s="23"/>
      <c r="B195" s="7"/>
      <c r="C195" s="116"/>
      <c r="D195" s="116"/>
      <c r="E195" s="116"/>
      <c r="F195" s="121" t="s">
        <v>212</v>
      </c>
      <c r="G195" s="121"/>
      <c r="H195" s="121"/>
      <c r="I195" s="4"/>
      <c r="J195" s="116"/>
      <c r="K195" s="116"/>
      <c r="L195" s="116"/>
      <c r="M195" s="116"/>
      <c r="N195" s="123"/>
      <c r="O195" s="123"/>
      <c r="P195" s="123"/>
      <c r="Q195" s="123"/>
      <c r="R195" s="123"/>
      <c r="S195" s="123"/>
      <c r="T195" s="123"/>
      <c r="U195" s="7"/>
      <c r="V195" s="7"/>
      <c r="W195" s="7"/>
      <c r="X195" s="7"/>
      <c r="Y195" s="7"/>
      <c r="Z195" s="7"/>
      <c r="AA195" s="7"/>
      <c r="AB195" s="7"/>
      <c r="AC195" s="7"/>
      <c r="AD195" s="7"/>
      <c r="AE195" s="7"/>
      <c r="AF195" s="7"/>
      <c r="AG195" s="7"/>
    </row>
    <row r="196" spans="1:33" ht="15.75" customHeight="1">
      <c r="A196" s="23"/>
      <c r="B196" s="7"/>
      <c r="D196" s="4"/>
      <c r="E196" s="4"/>
      <c r="F196" s="4"/>
      <c r="G196" s="4"/>
      <c r="H196" s="4"/>
      <c r="I196" s="4"/>
      <c r="J196" s="4"/>
      <c r="K196" s="4"/>
      <c r="L196" s="4"/>
      <c r="M196" s="4"/>
      <c r="N196" s="7"/>
      <c r="O196" s="7"/>
      <c r="P196" s="7"/>
      <c r="Q196" s="7"/>
      <c r="R196" s="7"/>
      <c r="S196" s="7"/>
      <c r="T196" s="7"/>
      <c r="U196" s="7"/>
      <c r="V196" s="7"/>
      <c r="W196" s="7"/>
      <c r="X196" s="7"/>
      <c r="Y196" s="7"/>
      <c r="Z196" s="7"/>
      <c r="AA196" s="7"/>
      <c r="AB196" s="7"/>
      <c r="AC196" s="7"/>
      <c r="AD196" s="7"/>
      <c r="AE196" s="7"/>
      <c r="AF196" s="7"/>
      <c r="AG196" s="7"/>
    </row>
    <row r="197" spans="1:33" ht="15.75" customHeight="1">
      <c r="A197" s="23"/>
      <c r="B197" s="7" t="s">
        <v>213</v>
      </c>
      <c r="C197" s="7"/>
      <c r="D197" s="30"/>
      <c r="E197" s="7"/>
      <c r="F197" s="7"/>
      <c r="G197" s="30"/>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1:33" ht="15.75" customHeight="1">
      <c r="A198" s="23"/>
      <c r="B198" s="7"/>
      <c r="C198" s="116" t="s">
        <v>209</v>
      </c>
      <c r="D198" s="116"/>
      <c r="E198" s="4" t="s">
        <v>161</v>
      </c>
      <c r="F198" s="123" t="s">
        <v>498</v>
      </c>
      <c r="G198" s="123"/>
      <c r="H198" s="123"/>
      <c r="I198" s="123"/>
      <c r="J198" s="123"/>
      <c r="K198" s="123"/>
      <c r="L198" s="123"/>
      <c r="M198" s="123"/>
      <c r="N198" s="123"/>
      <c r="O198" s="123"/>
      <c r="P198" s="123"/>
      <c r="Q198" s="123"/>
      <c r="R198" s="123"/>
      <c r="S198" s="123"/>
      <c r="T198" s="123"/>
      <c r="U198" s="123"/>
      <c r="V198" s="123"/>
      <c r="W198" s="123" t="s">
        <v>499</v>
      </c>
      <c r="X198" s="123"/>
      <c r="Y198" s="123"/>
      <c r="Z198" s="123"/>
      <c r="AA198" s="123"/>
      <c r="AB198" s="123"/>
      <c r="AC198" s="123"/>
      <c r="AD198" s="123"/>
      <c r="AE198" s="123"/>
      <c r="AF198" s="123"/>
      <c r="AG198" s="123"/>
    </row>
    <row r="199" spans="1:33" ht="15.75" customHeight="1">
      <c r="A199" s="23"/>
      <c r="B199" s="7"/>
      <c r="D199" s="4"/>
      <c r="E199" s="4"/>
      <c r="F199" s="9"/>
      <c r="G199" s="9"/>
      <c r="H199" s="9"/>
      <c r="I199" s="9"/>
      <c r="J199" s="9"/>
      <c r="K199" s="9"/>
      <c r="L199" s="9"/>
      <c r="M199" s="9"/>
      <c r="N199" s="9"/>
      <c r="O199" s="9"/>
      <c r="P199" s="9"/>
      <c r="Q199" s="4"/>
      <c r="R199" s="7"/>
      <c r="S199" s="7"/>
      <c r="T199" s="7"/>
      <c r="U199" s="7"/>
      <c r="V199" s="7"/>
      <c r="W199" s="7"/>
      <c r="X199" s="7"/>
      <c r="Y199" s="7"/>
      <c r="Z199" s="7"/>
      <c r="AA199" s="7"/>
      <c r="AB199" s="7"/>
      <c r="AC199" s="7"/>
      <c r="AD199" s="7"/>
      <c r="AE199" s="7"/>
      <c r="AF199" s="7"/>
      <c r="AG199" s="7"/>
    </row>
    <row r="200" spans="1:33" ht="15.75" customHeight="1">
      <c r="A200" s="23" t="s">
        <v>214</v>
      </c>
      <c r="B200" s="7"/>
      <c r="D200" s="4"/>
      <c r="E200" s="4"/>
      <c r="F200" s="9"/>
      <c r="G200" s="9"/>
      <c r="H200" s="9"/>
      <c r="I200" s="9"/>
      <c r="J200" s="9"/>
      <c r="K200" s="9"/>
      <c r="L200" s="9"/>
      <c r="M200" s="9"/>
      <c r="N200" s="9"/>
      <c r="O200" s="9"/>
      <c r="P200" s="9"/>
      <c r="Q200" s="4"/>
      <c r="R200" s="7"/>
      <c r="S200" s="7"/>
      <c r="T200" s="7"/>
      <c r="U200" s="7"/>
      <c r="V200" s="7"/>
      <c r="W200" s="7"/>
      <c r="X200" s="7"/>
      <c r="Y200" s="7"/>
      <c r="Z200" s="7"/>
      <c r="AA200" s="7"/>
      <c r="AB200" s="7"/>
      <c r="AC200" s="7"/>
      <c r="AD200" s="7"/>
      <c r="AE200" s="7"/>
      <c r="AF200" s="7"/>
      <c r="AG200" s="7"/>
    </row>
    <row r="201" spans="1:33" ht="15.75" customHeight="1">
      <c r="A201" s="23"/>
      <c r="B201" s="7"/>
      <c r="D201" s="4"/>
      <c r="E201" s="4"/>
      <c r="F201" s="9"/>
      <c r="G201" s="9"/>
      <c r="H201" s="9"/>
      <c r="I201" s="9"/>
      <c r="J201" s="9"/>
      <c r="K201" s="9"/>
      <c r="L201" s="9"/>
      <c r="M201" s="9"/>
      <c r="N201" s="9"/>
      <c r="O201" s="9"/>
      <c r="P201" s="9"/>
      <c r="Q201" s="4"/>
      <c r="R201" s="7"/>
      <c r="S201" s="7"/>
      <c r="T201" s="7"/>
      <c r="U201" s="7"/>
      <c r="V201" s="7"/>
      <c r="W201" s="7"/>
      <c r="X201" s="7"/>
      <c r="Y201" s="7"/>
      <c r="Z201" s="7"/>
      <c r="AA201" s="7"/>
      <c r="AB201" s="7"/>
      <c r="AC201" s="7"/>
      <c r="AD201" s="7"/>
      <c r="AE201" s="7"/>
      <c r="AF201" s="7"/>
      <c r="AG201" s="7"/>
    </row>
    <row r="202" spans="1:33" ht="15.75" customHeight="1">
      <c r="A202" s="23"/>
      <c r="B202" s="7"/>
      <c r="C202" s="7" t="s">
        <v>215</v>
      </c>
      <c r="D202" s="30"/>
      <c r="E202" s="7"/>
      <c r="F202" s="7"/>
      <c r="G202" s="30"/>
      <c r="H202" s="116" t="s">
        <v>216</v>
      </c>
      <c r="I202" s="116"/>
      <c r="J202" s="4" t="s">
        <v>163</v>
      </c>
      <c r="K202" s="116" t="s">
        <v>206</v>
      </c>
      <c r="L202" s="116"/>
      <c r="M202" s="4" t="s">
        <v>84</v>
      </c>
      <c r="N202" s="116" t="s">
        <v>217</v>
      </c>
      <c r="O202" s="116"/>
      <c r="P202" s="4" t="s">
        <v>163</v>
      </c>
      <c r="Q202" s="117">
        <f>N166</f>
        <v>0.85</v>
      </c>
      <c r="R202" s="117"/>
      <c r="S202" s="117"/>
      <c r="T202" s="4" t="s">
        <v>84</v>
      </c>
      <c r="U202" s="7">
        <v>2</v>
      </c>
      <c r="V202" s="4" t="s">
        <v>172</v>
      </c>
      <c r="W202" s="114">
        <f>ABS(V166)</f>
        <v>0.081</v>
      </c>
      <c r="X202" s="114"/>
      <c r="Y202" s="114"/>
      <c r="Z202" s="4" t="s">
        <v>180</v>
      </c>
      <c r="AA202" s="114">
        <f>ROUND(Q202-U202*W202,3)</f>
        <v>0.688</v>
      </c>
      <c r="AB202" s="114"/>
      <c r="AC202" s="114"/>
      <c r="AD202" s="7" t="s">
        <v>218</v>
      </c>
      <c r="AE202" s="7"/>
      <c r="AF202" s="7"/>
      <c r="AG202" s="7"/>
    </row>
    <row r="203" spans="1:33" ht="15.75" customHeight="1">
      <c r="A203" s="23"/>
      <c r="B203" s="7"/>
      <c r="C203" s="7" t="s">
        <v>219</v>
      </c>
      <c r="D203" s="30"/>
      <c r="E203" s="7"/>
      <c r="F203" s="7"/>
      <c r="G203" s="30"/>
      <c r="H203" s="116" t="s">
        <v>220</v>
      </c>
      <c r="I203" s="116"/>
      <c r="J203" s="4" t="s">
        <v>180</v>
      </c>
      <c r="K203" s="116" t="s">
        <v>221</v>
      </c>
      <c r="L203" s="116"/>
      <c r="M203" s="116"/>
      <c r="N203" s="116"/>
      <c r="O203" s="116"/>
      <c r="P203" s="4" t="s">
        <v>180</v>
      </c>
      <c r="Q203" s="114">
        <f>AA202</f>
        <v>0.688</v>
      </c>
      <c r="R203" s="114"/>
      <c r="S203" s="114"/>
      <c r="T203" s="4" t="s">
        <v>172</v>
      </c>
      <c r="U203" s="117">
        <f>V98</f>
        <v>2</v>
      </c>
      <c r="V203" s="117"/>
      <c r="W203" s="117"/>
      <c r="X203" s="4" t="s">
        <v>163</v>
      </c>
      <c r="Y203" s="114">
        <f>ROUND(Q203*U203,3)</f>
        <v>1.376</v>
      </c>
      <c r="Z203" s="114"/>
      <c r="AA203" s="114"/>
      <c r="AB203" s="7" t="s">
        <v>222</v>
      </c>
      <c r="AC203" s="7"/>
      <c r="AD203" s="7"/>
      <c r="AE203" s="7"/>
      <c r="AF203" s="7"/>
      <c r="AG203" s="7"/>
    </row>
    <row r="204" spans="1:33" ht="15.75" customHeight="1">
      <c r="A204" s="23"/>
      <c r="B204" s="7"/>
      <c r="C204" s="7"/>
      <c r="D204" s="30"/>
      <c r="E204" s="7"/>
      <c r="F204" s="7"/>
      <c r="G204" s="30"/>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row>
    <row r="205" spans="1:48" ht="15.75" customHeight="1">
      <c r="A205" s="23"/>
      <c r="B205" s="7" t="s">
        <v>223</v>
      </c>
      <c r="C205" s="7"/>
      <c r="D205" s="30"/>
      <c r="E205" s="7"/>
      <c r="F205" s="7"/>
      <c r="G205" s="30"/>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J205" s="31"/>
      <c r="AK205" s="32"/>
      <c r="AL205" s="35"/>
      <c r="AM205" s="32"/>
      <c r="AN205" s="36"/>
      <c r="AO205" s="36"/>
      <c r="AP205" s="35"/>
      <c r="AQ205" s="32"/>
      <c r="AR205" s="36"/>
      <c r="AS205" s="36"/>
      <c r="AU205" s="5"/>
      <c r="AV205" s="37"/>
    </row>
    <row r="206" spans="1:48" ht="15.75" customHeight="1">
      <c r="A206" s="23"/>
      <c r="B206" s="7"/>
      <c r="C206" s="3" t="s">
        <v>224</v>
      </c>
      <c r="D206" s="30"/>
      <c r="E206" s="7"/>
      <c r="F206" s="7"/>
      <c r="G206" s="30"/>
      <c r="H206" s="116" t="s">
        <v>505</v>
      </c>
      <c r="I206" s="116"/>
      <c r="J206" s="4" t="s">
        <v>506</v>
      </c>
      <c r="K206" s="117">
        <v>1</v>
      </c>
      <c r="L206" s="117"/>
      <c r="M206" s="117"/>
      <c r="N206" s="7"/>
      <c r="O206" s="7" t="s">
        <v>507</v>
      </c>
      <c r="P206" s="7"/>
      <c r="Q206" s="7"/>
      <c r="R206" s="7"/>
      <c r="S206" s="7"/>
      <c r="T206" s="7"/>
      <c r="U206" s="7"/>
      <c r="V206" s="7"/>
      <c r="W206" s="7"/>
      <c r="X206" s="7"/>
      <c r="Y206" s="7"/>
      <c r="Z206" s="7"/>
      <c r="AA206" s="7"/>
      <c r="AB206" s="7"/>
      <c r="AC206" s="7"/>
      <c r="AD206" s="7"/>
      <c r="AE206" s="7"/>
      <c r="AF206" s="7"/>
      <c r="AG206" s="7"/>
      <c r="AJ206" s="31"/>
      <c r="AK206" s="32"/>
      <c r="AL206" s="35"/>
      <c r="AM206" s="32"/>
      <c r="AN206" s="36"/>
      <c r="AO206" s="36"/>
      <c r="AP206" s="35"/>
      <c r="AQ206" s="32"/>
      <c r="AR206" s="36"/>
      <c r="AS206" s="36"/>
      <c r="AU206" s="5"/>
      <c r="AV206" s="37"/>
    </row>
    <row r="207" spans="1:48" ht="15.75" customHeight="1">
      <c r="A207" s="23"/>
      <c r="B207" s="7"/>
      <c r="C207" s="7" t="s">
        <v>231</v>
      </c>
      <c r="D207" s="30"/>
      <c r="E207" s="7"/>
      <c r="F207" s="7"/>
      <c r="G207" s="30"/>
      <c r="H207" s="116" t="s">
        <v>513</v>
      </c>
      <c r="I207" s="116"/>
      <c r="J207" s="4" t="s">
        <v>514</v>
      </c>
      <c r="K207" s="117">
        <f>N57</f>
        <v>10</v>
      </c>
      <c r="L207" s="117"/>
      <c r="M207" s="117"/>
      <c r="N207" s="7" t="s">
        <v>515</v>
      </c>
      <c r="O207" s="7"/>
      <c r="P207" s="7"/>
      <c r="Q207" s="7"/>
      <c r="S207" s="7"/>
      <c r="T207" s="7"/>
      <c r="U207" s="7"/>
      <c r="V207" s="7"/>
      <c r="W207" s="7"/>
      <c r="X207" s="7"/>
      <c r="Y207" s="7"/>
      <c r="Z207" s="7"/>
      <c r="AA207" s="7"/>
      <c r="AB207" s="7"/>
      <c r="AC207" s="7"/>
      <c r="AD207" s="7"/>
      <c r="AE207" s="7"/>
      <c r="AF207" s="7"/>
      <c r="AG207" s="7"/>
      <c r="AJ207" s="31"/>
      <c r="AK207" s="32"/>
      <c r="AL207" s="35"/>
      <c r="AM207" s="32"/>
      <c r="AN207" s="36"/>
      <c r="AO207" s="36"/>
      <c r="AP207" s="35"/>
      <c r="AQ207" s="32"/>
      <c r="AR207" s="36"/>
      <c r="AS207" s="36"/>
      <c r="AU207" s="5"/>
      <c r="AV207" s="37"/>
    </row>
    <row r="208" spans="1:48" ht="15.75" customHeight="1">
      <c r="A208" s="23"/>
      <c r="B208" s="7"/>
      <c r="C208" s="7" t="s">
        <v>234</v>
      </c>
      <c r="D208" s="30"/>
      <c r="E208" s="7"/>
      <c r="F208" s="7"/>
      <c r="G208" s="30"/>
      <c r="H208" s="116" t="s">
        <v>516</v>
      </c>
      <c r="I208" s="116"/>
      <c r="J208" s="4" t="s">
        <v>514</v>
      </c>
      <c r="K208" s="122">
        <f>IF(N58=0,5.1,(K238-1)*1/TAN(N58*PI()/180))</f>
        <v>5.1</v>
      </c>
      <c r="L208" s="122"/>
      <c r="M208" s="122"/>
      <c r="N208" s="3" t="str">
        <f>CONCATENATE("（φ＝",N58,"°）")</f>
        <v>（φ＝0°）</v>
      </c>
      <c r="W208" s="7" t="s">
        <v>500</v>
      </c>
      <c r="X208" s="7"/>
      <c r="Y208" s="7"/>
      <c r="Z208" s="7"/>
      <c r="AA208" s="7"/>
      <c r="AB208" s="7"/>
      <c r="AC208" s="7"/>
      <c r="AD208" s="7"/>
      <c r="AE208" s="7"/>
      <c r="AF208" s="7"/>
      <c r="AG208" s="7"/>
      <c r="AJ208" s="31"/>
      <c r="AK208" s="32"/>
      <c r="AL208" s="35"/>
      <c r="AM208" s="32"/>
      <c r="AN208" s="36"/>
      <c r="AO208" s="36"/>
      <c r="AP208" s="35"/>
      <c r="AQ208" s="32"/>
      <c r="AR208" s="36"/>
      <c r="AS208" s="36"/>
      <c r="AU208" s="5"/>
      <c r="AV208" s="37"/>
    </row>
    <row r="209" spans="1:48" ht="15.75" customHeight="1">
      <c r="A209" s="23"/>
      <c r="B209" s="7"/>
      <c r="C209" s="123" t="s">
        <v>235</v>
      </c>
      <c r="D209" s="123"/>
      <c r="E209" s="123"/>
      <c r="F209" s="123"/>
      <c r="G209" s="123"/>
      <c r="H209" s="116" t="s">
        <v>517</v>
      </c>
      <c r="I209" s="116"/>
      <c r="J209" s="116" t="s">
        <v>506</v>
      </c>
      <c r="K209" s="118" t="s">
        <v>518</v>
      </c>
      <c r="L209" s="118"/>
      <c r="M209" s="118"/>
      <c r="N209" s="116" t="s">
        <v>506</v>
      </c>
      <c r="O209" s="119">
        <f>M160</f>
        <v>6.51</v>
      </c>
      <c r="P209" s="119"/>
      <c r="Q209" s="119"/>
      <c r="R209" s="116" t="s">
        <v>506</v>
      </c>
      <c r="S209" s="114">
        <f>ROUND(O209/O210,3)</f>
        <v>0.199</v>
      </c>
      <c r="T209" s="114"/>
      <c r="U209" s="114"/>
      <c r="V209" s="7"/>
      <c r="W209" s="116" t="s">
        <v>519</v>
      </c>
      <c r="X209" s="116"/>
      <c r="Y209" s="116" t="s">
        <v>506</v>
      </c>
      <c r="Z209" s="124">
        <f>ROUND(ATAN(S209)*180/PI(),1)</f>
        <v>11.3</v>
      </c>
      <c r="AA209" s="124"/>
      <c r="AB209" s="124"/>
      <c r="AC209" s="123" t="s">
        <v>520</v>
      </c>
      <c r="AD209" s="123"/>
      <c r="AE209" s="7"/>
      <c r="AF209" s="7"/>
      <c r="AG209" s="7"/>
      <c r="AJ209" s="31"/>
      <c r="AK209" s="32"/>
      <c r="AL209" s="35"/>
      <c r="AM209" s="32"/>
      <c r="AN209" s="36"/>
      <c r="AO209" s="36"/>
      <c r="AP209" s="35"/>
      <c r="AQ209" s="32"/>
      <c r="AR209" s="36"/>
      <c r="AS209" s="36"/>
      <c r="AU209" s="5"/>
      <c r="AV209" s="37"/>
    </row>
    <row r="210" spans="1:48" ht="15.75" customHeight="1">
      <c r="A210" s="23"/>
      <c r="B210" s="7"/>
      <c r="C210" s="123"/>
      <c r="D210" s="123"/>
      <c r="E210" s="123"/>
      <c r="F210" s="123"/>
      <c r="G210" s="123"/>
      <c r="H210" s="116"/>
      <c r="I210" s="116"/>
      <c r="J210" s="116"/>
      <c r="K210" s="121" t="s">
        <v>521</v>
      </c>
      <c r="L210" s="121"/>
      <c r="M210" s="121"/>
      <c r="N210" s="116"/>
      <c r="O210" s="184">
        <f>J160</f>
        <v>32.64</v>
      </c>
      <c r="P210" s="184"/>
      <c r="Q210" s="184"/>
      <c r="R210" s="116"/>
      <c r="S210" s="114"/>
      <c r="T210" s="114"/>
      <c r="U210" s="114"/>
      <c r="V210" s="7"/>
      <c r="W210" s="116"/>
      <c r="X210" s="116"/>
      <c r="Y210" s="116"/>
      <c r="Z210" s="124"/>
      <c r="AA210" s="124"/>
      <c r="AB210" s="124"/>
      <c r="AC210" s="123"/>
      <c r="AD210" s="123"/>
      <c r="AE210" s="7"/>
      <c r="AF210" s="7"/>
      <c r="AG210" s="7"/>
      <c r="AI210" s="43"/>
      <c r="AJ210" s="31"/>
      <c r="AK210" s="32"/>
      <c r="AL210" s="35"/>
      <c r="AM210" s="32"/>
      <c r="AN210" s="36"/>
      <c r="AO210" s="36"/>
      <c r="AP210" s="35"/>
      <c r="AQ210" s="32"/>
      <c r="AR210" s="36"/>
      <c r="AS210" s="36"/>
      <c r="AU210" s="5"/>
      <c r="AV210" s="37"/>
    </row>
    <row r="211" spans="3:33" ht="15.75" customHeight="1">
      <c r="C211" s="125" t="s">
        <v>564</v>
      </c>
      <c r="D211" s="123"/>
      <c r="E211" s="123"/>
      <c r="F211" s="123"/>
      <c r="G211" s="123"/>
      <c r="H211" s="116" t="s">
        <v>569</v>
      </c>
      <c r="I211" s="116"/>
      <c r="J211" s="4" t="s">
        <v>161</v>
      </c>
      <c r="K211" s="4" t="s">
        <v>243</v>
      </c>
      <c r="L211" s="19">
        <v>1</v>
      </c>
      <c r="M211" s="4" t="s">
        <v>567</v>
      </c>
      <c r="N211" s="116" t="s">
        <v>519</v>
      </c>
      <c r="O211" s="116"/>
      <c r="P211" s="4" t="s">
        <v>561</v>
      </c>
      <c r="Q211" s="116">
        <v>90</v>
      </c>
      <c r="R211" s="116"/>
      <c r="S211" s="4" t="s">
        <v>560</v>
      </c>
      <c r="T211" s="92">
        <v>2</v>
      </c>
      <c r="U211" s="7"/>
      <c r="V211" s="7"/>
      <c r="W211" s="12"/>
      <c r="X211" s="4"/>
      <c r="Y211" s="12"/>
      <c r="Z211" s="12"/>
      <c r="AA211" s="4"/>
      <c r="AB211" s="92"/>
      <c r="AC211" s="92"/>
      <c r="AD211" s="4"/>
      <c r="AE211" s="91"/>
      <c r="AF211" s="91"/>
      <c r="AG211" s="91"/>
    </row>
    <row r="212" spans="3:29" ht="15.75" customHeight="1">
      <c r="C212" s="123"/>
      <c r="D212" s="123"/>
      <c r="E212" s="123"/>
      <c r="F212" s="123"/>
      <c r="G212" s="123"/>
      <c r="H212" s="4"/>
      <c r="I212" s="4"/>
      <c r="J212" s="4" t="s">
        <v>161</v>
      </c>
      <c r="K212" s="4" t="s">
        <v>243</v>
      </c>
      <c r="L212" s="19">
        <v>1</v>
      </c>
      <c r="M212" s="4" t="s">
        <v>567</v>
      </c>
      <c r="N212" s="186">
        <f>Z209</f>
        <v>11.3</v>
      </c>
      <c r="O212" s="186"/>
      <c r="P212" s="4" t="s">
        <v>561</v>
      </c>
      <c r="Q212" s="116">
        <v>90</v>
      </c>
      <c r="R212" s="116"/>
      <c r="S212" s="4" t="s">
        <v>560</v>
      </c>
      <c r="T212" s="92">
        <v>2</v>
      </c>
      <c r="U212" s="4" t="s">
        <v>161</v>
      </c>
      <c r="V212" s="185">
        <f>(L212-N212/Q212)^2</f>
        <v>0.7646530864197532</v>
      </c>
      <c r="W212" s="185"/>
      <c r="X212" s="185"/>
      <c r="Y212" s="7"/>
      <c r="Z212" s="7"/>
      <c r="AA212" s="7"/>
      <c r="AB212" s="7"/>
      <c r="AC212" s="7"/>
    </row>
    <row r="213" spans="1:48" ht="15.75" customHeight="1">
      <c r="A213" s="23"/>
      <c r="B213" s="7"/>
      <c r="C213" s="7"/>
      <c r="D213" s="30"/>
      <c r="E213" s="7"/>
      <c r="F213" s="7"/>
      <c r="G213" s="30"/>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J213" s="31"/>
      <c r="AK213" s="32"/>
      <c r="AL213" s="35"/>
      <c r="AM213" s="32"/>
      <c r="AN213" s="36"/>
      <c r="AO213" s="36"/>
      <c r="AP213" s="35"/>
      <c r="AQ213" s="32"/>
      <c r="AR213" s="36"/>
      <c r="AS213" s="36"/>
      <c r="AU213" s="5"/>
      <c r="AV213" s="37"/>
    </row>
    <row r="214" spans="1:48" ht="15.75" customHeight="1">
      <c r="A214" s="23"/>
      <c r="B214" s="7" t="s">
        <v>236</v>
      </c>
      <c r="C214" s="7"/>
      <c r="D214" s="30"/>
      <c r="E214" s="7"/>
      <c r="F214" s="7"/>
      <c r="G214" s="30" t="s">
        <v>522</v>
      </c>
      <c r="H214" s="7"/>
      <c r="I214" s="7"/>
      <c r="J214" s="7"/>
      <c r="K214" s="4" t="s">
        <v>523</v>
      </c>
      <c r="L214" s="114">
        <f>V212</f>
        <v>0.7646530864197532</v>
      </c>
      <c r="M214" s="114"/>
      <c r="N214" s="114"/>
      <c r="O214" s="4" t="s">
        <v>524</v>
      </c>
      <c r="P214" s="117">
        <f>K206</f>
        <v>1</v>
      </c>
      <c r="Q214" s="117"/>
      <c r="R214" s="117"/>
      <c r="S214" s="4" t="s">
        <v>525</v>
      </c>
      <c r="T214" s="117">
        <f>K207</f>
        <v>10</v>
      </c>
      <c r="U214" s="117"/>
      <c r="V214" s="117"/>
      <c r="W214" s="4" t="s">
        <v>526</v>
      </c>
      <c r="X214" s="117">
        <f>K208</f>
        <v>5.1</v>
      </c>
      <c r="Y214" s="117"/>
      <c r="Z214" s="117"/>
      <c r="AA214" s="4"/>
      <c r="AB214" s="27"/>
      <c r="AC214" s="27"/>
      <c r="AD214" s="27"/>
      <c r="AE214" s="4"/>
      <c r="AF214" s="7"/>
      <c r="AG214" s="7"/>
      <c r="AJ214" s="31"/>
      <c r="AK214" s="32"/>
      <c r="AL214" s="35"/>
      <c r="AM214" s="32"/>
      <c r="AN214" s="36"/>
      <c r="AO214" s="36"/>
      <c r="AP214" s="35"/>
      <c r="AQ214" s="32"/>
      <c r="AR214" s="36"/>
      <c r="AS214" s="36"/>
      <c r="AU214" s="5"/>
      <c r="AV214" s="37"/>
    </row>
    <row r="215" spans="1:47" ht="15.75" customHeight="1">
      <c r="A215" s="23"/>
      <c r="B215" s="7"/>
      <c r="C215" s="7"/>
      <c r="D215" s="30"/>
      <c r="E215" s="7"/>
      <c r="F215" s="7"/>
      <c r="G215" s="30"/>
      <c r="H215" s="7"/>
      <c r="I215" s="7"/>
      <c r="J215" s="7"/>
      <c r="K215" s="4" t="s">
        <v>506</v>
      </c>
      <c r="L215" s="117">
        <f>ROUND(L214*P214*T214*X214,2)</f>
        <v>39</v>
      </c>
      <c r="M215" s="117"/>
      <c r="N215" s="117"/>
      <c r="O215" s="7" t="s">
        <v>515</v>
      </c>
      <c r="P215" s="7"/>
      <c r="Q215" s="7"/>
      <c r="R215" s="7"/>
      <c r="S215" s="7"/>
      <c r="T215" s="7"/>
      <c r="U215" s="7"/>
      <c r="V215" s="7"/>
      <c r="W215" s="7"/>
      <c r="X215" s="7"/>
      <c r="Y215" s="7"/>
      <c r="Z215" s="7"/>
      <c r="AA215" s="7"/>
      <c r="AB215" s="7"/>
      <c r="AC215" s="7"/>
      <c r="AD215" s="7"/>
      <c r="AE215" s="7"/>
      <c r="AF215" s="7"/>
      <c r="AG215" s="7"/>
      <c r="AJ215" s="31"/>
      <c r="AK215" s="32"/>
      <c r="AL215" s="35"/>
      <c r="AM215" s="32"/>
      <c r="AN215" s="36"/>
      <c r="AO215" s="36"/>
      <c r="AP215" s="35"/>
      <c r="AQ215" s="32"/>
      <c r="AR215" s="36"/>
      <c r="AS215" s="36"/>
      <c r="AU215" s="38"/>
    </row>
    <row r="216" spans="1:47" ht="15.75" customHeight="1">
      <c r="A216" s="23"/>
      <c r="B216" s="7"/>
      <c r="C216" s="7"/>
      <c r="D216" s="30"/>
      <c r="E216" s="7"/>
      <c r="F216" s="7"/>
      <c r="G216" s="30"/>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J216" s="31"/>
      <c r="AK216" s="32"/>
      <c r="AL216" s="35"/>
      <c r="AM216" s="32"/>
      <c r="AN216" s="36"/>
      <c r="AO216" s="36"/>
      <c r="AP216" s="35"/>
      <c r="AQ216" s="32"/>
      <c r="AR216" s="36"/>
      <c r="AS216" s="36"/>
      <c r="AU216" s="38"/>
    </row>
    <row r="217" spans="1:33" ht="15.75" customHeight="1">
      <c r="A217" s="23"/>
      <c r="B217" s="7" t="s">
        <v>237</v>
      </c>
      <c r="C217" s="7"/>
      <c r="D217" s="30"/>
      <c r="E217" s="7"/>
      <c r="F217" s="7"/>
      <c r="G217" s="30"/>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1:33" ht="15.75" customHeight="1">
      <c r="A218" s="23"/>
      <c r="B218" s="7"/>
      <c r="C218" s="125" t="s">
        <v>240</v>
      </c>
      <c r="D218" s="123"/>
      <c r="E218" s="123"/>
      <c r="F218" s="123"/>
      <c r="G218" s="123"/>
      <c r="H218" s="116" t="s">
        <v>527</v>
      </c>
      <c r="I218" s="116"/>
      <c r="J218" s="116" t="s">
        <v>506</v>
      </c>
      <c r="K218" s="124">
        <f>N59</f>
        <v>5</v>
      </c>
      <c r="L218" s="124"/>
      <c r="M218" s="124"/>
      <c r="N218" s="123" t="s">
        <v>528</v>
      </c>
      <c r="O218" s="123"/>
      <c r="P218" s="123"/>
      <c r="Q218" s="7"/>
      <c r="R218" s="7"/>
      <c r="S218" s="7"/>
      <c r="T218" s="7"/>
      <c r="U218" s="7"/>
      <c r="V218" s="7"/>
      <c r="W218" s="7"/>
      <c r="X218" s="7"/>
      <c r="Y218" s="7"/>
      <c r="Z218" s="7"/>
      <c r="AA218" s="7"/>
      <c r="AB218" s="7"/>
      <c r="AC218" s="7"/>
      <c r="AD218" s="7"/>
      <c r="AE218" s="7"/>
      <c r="AF218" s="7"/>
      <c r="AG218" s="7"/>
    </row>
    <row r="219" spans="1:33" ht="15.75" customHeight="1">
      <c r="A219" s="23"/>
      <c r="B219" s="7"/>
      <c r="C219" s="123"/>
      <c r="D219" s="123"/>
      <c r="E219" s="123"/>
      <c r="F219" s="123"/>
      <c r="G219" s="123"/>
      <c r="H219" s="116"/>
      <c r="I219" s="116"/>
      <c r="J219" s="116"/>
      <c r="K219" s="124"/>
      <c r="L219" s="124"/>
      <c r="M219" s="124"/>
      <c r="N219" s="123"/>
      <c r="O219" s="123"/>
      <c r="P219" s="123"/>
      <c r="Q219" s="7"/>
      <c r="R219" s="7"/>
      <c r="S219" s="7"/>
      <c r="T219" s="7"/>
      <c r="U219" s="7"/>
      <c r="V219" s="7"/>
      <c r="W219" s="7"/>
      <c r="X219" s="7"/>
      <c r="Y219" s="7"/>
      <c r="Z219" s="7"/>
      <c r="AA219" s="7"/>
      <c r="AB219" s="7"/>
      <c r="AC219" s="7"/>
      <c r="AD219" s="7"/>
      <c r="AE219" s="7"/>
      <c r="AF219" s="7"/>
      <c r="AG219" s="7"/>
    </row>
    <row r="220" spans="3:26" ht="15.75" customHeight="1">
      <c r="C220" s="3" t="s">
        <v>224</v>
      </c>
      <c r="D220" s="3"/>
      <c r="G220" s="3"/>
      <c r="H220" s="116" t="s">
        <v>529</v>
      </c>
      <c r="I220" s="116"/>
      <c r="J220" s="4" t="s">
        <v>506</v>
      </c>
      <c r="K220" s="117">
        <v>0.5</v>
      </c>
      <c r="L220" s="117"/>
      <c r="M220" s="117"/>
      <c r="N220" s="7" t="s">
        <v>530</v>
      </c>
      <c r="Z220" s="3"/>
    </row>
    <row r="221" spans="3:13" ht="15.75" customHeight="1">
      <c r="C221" s="7" t="s">
        <v>215</v>
      </c>
      <c r="H221" s="116" t="s">
        <v>531</v>
      </c>
      <c r="I221" s="116"/>
      <c r="J221" s="4" t="s">
        <v>506</v>
      </c>
      <c r="K221" s="114">
        <f>AA202</f>
        <v>0.688</v>
      </c>
      <c r="L221" s="114"/>
      <c r="M221" s="114"/>
    </row>
    <row r="222" spans="3:19" ht="15.75" customHeight="1">
      <c r="C222" s="125" t="s">
        <v>532</v>
      </c>
      <c r="D222" s="123"/>
      <c r="E222" s="123"/>
      <c r="F222" s="123"/>
      <c r="G222" s="123"/>
      <c r="H222" s="116" t="s">
        <v>559</v>
      </c>
      <c r="I222" s="116"/>
      <c r="J222" s="4" t="s">
        <v>506</v>
      </c>
      <c r="K222" s="4" t="s">
        <v>243</v>
      </c>
      <c r="L222" s="116" t="s">
        <v>2</v>
      </c>
      <c r="M222" s="116"/>
      <c r="N222" s="4" t="s">
        <v>561</v>
      </c>
      <c r="O222" s="116" t="s">
        <v>562</v>
      </c>
      <c r="P222" s="116"/>
      <c r="Q222" s="4" t="s">
        <v>560</v>
      </c>
      <c r="R222" s="209" t="s">
        <v>563</v>
      </c>
      <c r="S222" s="209"/>
    </row>
    <row r="223" spans="3:40" ht="15.75" customHeight="1">
      <c r="C223" s="123"/>
      <c r="D223" s="123"/>
      <c r="E223" s="123"/>
      <c r="F223" s="123"/>
      <c r="G223" s="123"/>
      <c r="H223" s="4"/>
      <c r="I223" s="4"/>
      <c r="J223" s="4" t="s">
        <v>161</v>
      </c>
      <c r="K223" s="4" t="s">
        <v>243</v>
      </c>
      <c r="L223" s="207">
        <f>Q202</f>
        <v>0.85</v>
      </c>
      <c r="M223" s="207"/>
      <c r="N223" s="4" t="s">
        <v>561</v>
      </c>
      <c r="O223" s="207">
        <v>1</v>
      </c>
      <c r="P223" s="207"/>
      <c r="Q223" s="4" t="s">
        <v>560</v>
      </c>
      <c r="R223" s="209" t="s">
        <v>563</v>
      </c>
      <c r="S223" s="209"/>
      <c r="T223" s="4" t="s">
        <v>161</v>
      </c>
      <c r="U223" s="185">
        <f>(L223/O223)^(-1/3)</f>
        <v>1.0556671919780007</v>
      </c>
      <c r="V223" s="185"/>
      <c r="W223" s="185"/>
      <c r="X223" s="4"/>
      <c r="Y223" s="27"/>
      <c r="Z223" s="27"/>
      <c r="AA223" s="27"/>
      <c r="AN223" s="4"/>
    </row>
    <row r="224" spans="3:29" ht="15.75" customHeight="1">
      <c r="C224" s="7" t="s">
        <v>234</v>
      </c>
      <c r="H224" s="116" t="s">
        <v>533</v>
      </c>
      <c r="I224" s="116"/>
      <c r="J224" s="4" t="s">
        <v>506</v>
      </c>
      <c r="K224" s="122">
        <f>(K238-1)*TAN((1.4*N58)*PI()/180)</f>
        <v>0</v>
      </c>
      <c r="L224" s="122"/>
      <c r="M224" s="122"/>
      <c r="N224" s="123" t="str">
        <f>N208</f>
        <v>（φ＝0°）</v>
      </c>
      <c r="O224" s="123"/>
      <c r="P224" s="123"/>
      <c r="Q224" s="123"/>
      <c r="R224" s="123"/>
      <c r="S224" s="123"/>
      <c r="T224" s="123"/>
      <c r="U224" s="123"/>
      <c r="V224" s="123"/>
      <c r="W224" s="7" t="s">
        <v>500</v>
      </c>
      <c r="X224" s="7"/>
      <c r="Y224" s="7"/>
      <c r="Z224" s="7"/>
      <c r="AA224" s="7"/>
      <c r="AB224" s="7"/>
      <c r="AC224" s="7"/>
    </row>
    <row r="225" spans="3:33" ht="15.75" customHeight="1">
      <c r="C225" s="125" t="s">
        <v>564</v>
      </c>
      <c r="D225" s="123"/>
      <c r="E225" s="123"/>
      <c r="F225" s="123"/>
      <c r="G225" s="123"/>
      <c r="H225" s="116" t="s">
        <v>565</v>
      </c>
      <c r="I225" s="116"/>
      <c r="J225" s="4" t="s">
        <v>161</v>
      </c>
      <c r="K225" s="4" t="s">
        <v>243</v>
      </c>
      <c r="L225" s="19">
        <v>1</v>
      </c>
      <c r="M225" s="4" t="s">
        <v>567</v>
      </c>
      <c r="N225" s="116" t="s">
        <v>519</v>
      </c>
      <c r="O225" s="116"/>
      <c r="P225" s="4" t="s">
        <v>561</v>
      </c>
      <c r="Q225" s="116" t="s">
        <v>566</v>
      </c>
      <c r="R225" s="116"/>
      <c r="S225" s="4" t="s">
        <v>560</v>
      </c>
      <c r="T225" s="92">
        <v>2</v>
      </c>
      <c r="U225" s="7"/>
      <c r="V225" s="7" t="s">
        <v>568</v>
      </c>
      <c r="W225" s="12"/>
      <c r="X225" s="4"/>
      <c r="Y225" s="12"/>
      <c r="Z225" s="12"/>
      <c r="AA225" s="4"/>
      <c r="AB225" s="92"/>
      <c r="AC225" s="92"/>
      <c r="AD225" s="4"/>
      <c r="AE225" s="91"/>
      <c r="AF225" s="91"/>
      <c r="AG225" s="91"/>
    </row>
    <row r="226" spans="3:29" ht="15.75" customHeight="1">
      <c r="C226" s="123"/>
      <c r="D226" s="123"/>
      <c r="E226" s="123"/>
      <c r="F226" s="123"/>
      <c r="G226" s="123"/>
      <c r="H226" s="4"/>
      <c r="I226" s="4"/>
      <c r="J226" s="4" t="s">
        <v>161</v>
      </c>
      <c r="K226" s="4" t="s">
        <v>243</v>
      </c>
      <c r="L226" s="19">
        <v>1</v>
      </c>
      <c r="M226" s="4" t="s">
        <v>567</v>
      </c>
      <c r="N226" s="186">
        <f>Z209</f>
        <v>11.3</v>
      </c>
      <c r="O226" s="186"/>
      <c r="P226" s="4" t="s">
        <v>561</v>
      </c>
      <c r="Q226" s="116">
        <f>N58</f>
        <v>0</v>
      </c>
      <c r="R226" s="116"/>
      <c r="S226" s="4" t="s">
        <v>560</v>
      </c>
      <c r="T226" s="92">
        <v>2</v>
      </c>
      <c r="U226" s="4" t="s">
        <v>161</v>
      </c>
      <c r="V226" s="185">
        <f>IF(N226&gt;Q226,0,(L226-N226/Q226)^2)</f>
        <v>0</v>
      </c>
      <c r="W226" s="185"/>
      <c r="X226" s="185"/>
      <c r="Y226" s="7"/>
      <c r="Z226" s="7"/>
      <c r="AA226" s="7"/>
      <c r="AB226" s="7"/>
      <c r="AC226" s="7"/>
    </row>
    <row r="227" spans="3:24" ht="15.75" customHeight="1">
      <c r="C227" s="7"/>
      <c r="D227" s="7"/>
      <c r="E227" s="7"/>
      <c r="F227" s="7"/>
      <c r="G227" s="7"/>
      <c r="H227" s="7"/>
      <c r="I227" s="7"/>
      <c r="J227" s="7"/>
      <c r="K227" s="7"/>
      <c r="L227" s="7"/>
      <c r="M227" s="7"/>
      <c r="N227" s="7"/>
      <c r="O227" s="7"/>
      <c r="P227" s="7"/>
      <c r="Q227" s="7"/>
      <c r="R227" s="7"/>
      <c r="S227" s="7"/>
      <c r="T227" s="7"/>
      <c r="U227" s="7"/>
      <c r="V227" s="7"/>
      <c r="W227" s="7"/>
      <c r="X227" s="7"/>
    </row>
    <row r="228" spans="2:24" ht="15.75" customHeight="1">
      <c r="B228" s="3" t="s">
        <v>534</v>
      </c>
      <c r="C228" s="7"/>
      <c r="D228" s="7"/>
      <c r="E228" s="7"/>
      <c r="F228" s="7"/>
      <c r="G228" s="7"/>
      <c r="H228" s="7"/>
      <c r="I228" s="7"/>
      <c r="J228" s="7"/>
      <c r="K228" s="7"/>
      <c r="L228" s="7"/>
      <c r="M228" s="7"/>
      <c r="N228" s="7"/>
      <c r="O228" s="7"/>
      <c r="P228" s="7"/>
      <c r="Q228" s="7"/>
      <c r="R228" s="7"/>
      <c r="S228" s="7"/>
      <c r="T228" s="7"/>
      <c r="U228" s="7"/>
      <c r="V228" s="7"/>
      <c r="W228" s="7"/>
      <c r="X228" s="7"/>
    </row>
    <row r="229" spans="2:36" ht="15.75" customHeight="1">
      <c r="B229" s="7"/>
      <c r="C229" s="7"/>
      <c r="D229" s="7"/>
      <c r="E229" s="124" t="s">
        <v>535</v>
      </c>
      <c r="F229" s="124"/>
      <c r="G229" s="124"/>
      <c r="H229" s="124"/>
      <c r="I229" s="124"/>
      <c r="J229" s="124"/>
      <c r="K229" s="124"/>
      <c r="L229" s="4" t="s">
        <v>506</v>
      </c>
      <c r="M229" s="114">
        <f>V226</f>
        <v>0</v>
      </c>
      <c r="N229" s="114"/>
      <c r="O229" s="114"/>
      <c r="P229" s="4" t="s">
        <v>525</v>
      </c>
      <c r="Q229" s="117">
        <f>K220</f>
        <v>0.5</v>
      </c>
      <c r="R229" s="117"/>
      <c r="S229" s="4" t="s">
        <v>172</v>
      </c>
      <c r="T229" s="124">
        <f>K218</f>
        <v>5</v>
      </c>
      <c r="U229" s="124"/>
      <c r="V229" s="4" t="s">
        <v>503</v>
      </c>
      <c r="W229" s="114">
        <f>K221</f>
        <v>0.688</v>
      </c>
      <c r="X229" s="114"/>
      <c r="Y229" s="114"/>
      <c r="Z229" s="4" t="s">
        <v>172</v>
      </c>
      <c r="AA229" s="114">
        <f>U223</f>
        <v>1.0556671919780007</v>
      </c>
      <c r="AB229" s="114"/>
      <c r="AC229" s="114"/>
      <c r="AD229" s="4" t="s">
        <v>503</v>
      </c>
      <c r="AE229" s="117">
        <f>K224</f>
        <v>0</v>
      </c>
      <c r="AF229" s="117"/>
      <c r="AG229" s="27"/>
      <c r="AH229" s="27"/>
      <c r="AI229" s="27"/>
      <c r="AJ229" s="30"/>
    </row>
    <row r="230" spans="3:34" ht="15.75" customHeight="1">
      <c r="C230" s="7"/>
      <c r="D230" s="7"/>
      <c r="E230" s="7"/>
      <c r="F230" s="7"/>
      <c r="G230" s="7"/>
      <c r="H230" s="7"/>
      <c r="I230" s="7"/>
      <c r="J230" s="7"/>
      <c r="K230" s="7"/>
      <c r="L230" s="4" t="s">
        <v>502</v>
      </c>
      <c r="M230" s="187">
        <f>ROUND(M229*Q229*T229*W229*AA229*AE229,2)</f>
        <v>0</v>
      </c>
      <c r="N230" s="187"/>
      <c r="O230" s="187"/>
      <c r="P230" s="7" t="s">
        <v>504</v>
      </c>
      <c r="Q230" s="7"/>
      <c r="R230" s="7"/>
      <c r="S230" s="7"/>
      <c r="T230" s="7"/>
      <c r="U230" s="7"/>
      <c r="V230" s="7"/>
      <c r="W230" s="7"/>
      <c r="Y230" s="4"/>
      <c r="Z230" s="3"/>
      <c r="AH230" s="7"/>
    </row>
    <row r="231" spans="3:26" ht="15.75" customHeight="1">
      <c r="C231" s="7"/>
      <c r="D231" s="7"/>
      <c r="E231" s="7"/>
      <c r="F231" s="7"/>
      <c r="G231" s="7"/>
      <c r="H231" s="7"/>
      <c r="I231" s="7"/>
      <c r="J231" s="7"/>
      <c r="K231" s="7"/>
      <c r="L231" s="7"/>
      <c r="M231" s="7"/>
      <c r="N231" s="7"/>
      <c r="O231" s="7"/>
      <c r="P231" s="7"/>
      <c r="Q231" s="7"/>
      <c r="R231" s="7"/>
      <c r="S231" s="7"/>
      <c r="T231" s="7"/>
      <c r="U231" s="7"/>
      <c r="V231" s="7"/>
      <c r="W231" s="7"/>
      <c r="Y231" s="4"/>
      <c r="Z231" s="3"/>
    </row>
    <row r="232" spans="1:47" ht="15.75" customHeight="1">
      <c r="A232" s="23"/>
      <c r="B232" s="7" t="s">
        <v>239</v>
      </c>
      <c r="C232" s="7"/>
      <c r="D232" s="30"/>
      <c r="E232" s="7"/>
      <c r="F232" s="7"/>
      <c r="G232" s="30"/>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31"/>
      <c r="AK232" s="32"/>
      <c r="AL232" s="35"/>
      <c r="AM232" s="32"/>
      <c r="AN232" s="36"/>
      <c r="AO232" s="36"/>
      <c r="AP232" s="35"/>
      <c r="AQ232" s="32"/>
      <c r="AR232" s="36"/>
      <c r="AS232" s="36"/>
      <c r="AU232" s="38"/>
    </row>
    <row r="233" spans="1:33" ht="15.75" customHeight="1">
      <c r="A233" s="23"/>
      <c r="B233" s="7"/>
      <c r="C233" s="125" t="s">
        <v>536</v>
      </c>
      <c r="D233" s="123"/>
      <c r="E233" s="123"/>
      <c r="F233" s="123"/>
      <c r="G233" s="123"/>
      <c r="H233" s="116" t="s">
        <v>537</v>
      </c>
      <c r="I233" s="116"/>
      <c r="J233" s="116" t="s">
        <v>502</v>
      </c>
      <c r="K233" s="124">
        <f>N63</f>
        <v>5</v>
      </c>
      <c r="L233" s="124"/>
      <c r="M233" s="124"/>
      <c r="N233" s="123" t="s">
        <v>538</v>
      </c>
      <c r="O233" s="123"/>
      <c r="P233" s="123"/>
      <c r="Q233" s="7"/>
      <c r="R233" s="7"/>
      <c r="S233" s="7"/>
      <c r="T233" s="7"/>
      <c r="U233" s="7"/>
      <c r="V233" s="7"/>
      <c r="W233" s="7"/>
      <c r="X233" s="7"/>
      <c r="Y233" s="7"/>
      <c r="Z233" s="7"/>
      <c r="AA233" s="7"/>
      <c r="AB233" s="7"/>
      <c r="AC233" s="7"/>
      <c r="AD233" s="7"/>
      <c r="AE233" s="7"/>
      <c r="AF233" s="7"/>
      <c r="AG233" s="7"/>
    </row>
    <row r="234" spans="1:33" ht="15.75" customHeight="1">
      <c r="A234" s="23"/>
      <c r="B234" s="7"/>
      <c r="C234" s="123"/>
      <c r="D234" s="123"/>
      <c r="E234" s="123"/>
      <c r="F234" s="123"/>
      <c r="G234" s="123"/>
      <c r="H234" s="116"/>
      <c r="I234" s="116"/>
      <c r="J234" s="116"/>
      <c r="K234" s="124"/>
      <c r="L234" s="124"/>
      <c r="M234" s="124"/>
      <c r="N234" s="123"/>
      <c r="O234" s="123"/>
      <c r="P234" s="123"/>
      <c r="Q234" s="7"/>
      <c r="R234" s="7"/>
      <c r="S234" s="7"/>
      <c r="T234" s="7"/>
      <c r="U234" s="7"/>
      <c r="V234" s="7"/>
      <c r="W234" s="7"/>
      <c r="X234" s="7"/>
      <c r="Y234" s="7"/>
      <c r="Z234" s="7"/>
      <c r="AA234" s="7"/>
      <c r="AB234" s="7"/>
      <c r="AC234" s="7"/>
      <c r="AD234" s="7"/>
      <c r="AE234" s="7"/>
      <c r="AF234" s="7"/>
      <c r="AG234" s="7"/>
    </row>
    <row r="235" spans="1:48" ht="15.75" customHeight="1">
      <c r="A235" s="23"/>
      <c r="B235" s="7"/>
      <c r="C235" s="7"/>
      <c r="D235" s="30"/>
      <c r="E235" s="7"/>
      <c r="F235" s="7"/>
      <c r="G235" s="30"/>
      <c r="H235" s="7"/>
      <c r="I235" s="7"/>
      <c r="J235" s="7"/>
      <c r="K235" s="7"/>
      <c r="L235" s="126" t="s">
        <v>225</v>
      </c>
      <c r="M235" s="126"/>
      <c r="N235" s="126"/>
      <c r="O235" s="126"/>
      <c r="P235" s="126" t="s">
        <v>226</v>
      </c>
      <c r="Q235" s="126"/>
      <c r="R235" s="126"/>
      <c r="S235" s="7"/>
      <c r="T235" s="126" t="s">
        <v>227</v>
      </c>
      <c r="U235" s="126"/>
      <c r="V235" s="126"/>
      <c r="W235" s="7"/>
      <c r="X235" s="7"/>
      <c r="Y235" s="7"/>
      <c r="Z235" s="7"/>
      <c r="AA235" s="7"/>
      <c r="AB235" s="7"/>
      <c r="AC235" s="7"/>
      <c r="AD235" s="7"/>
      <c r="AE235" s="7"/>
      <c r="AF235" s="7"/>
      <c r="AG235" s="7"/>
      <c r="AJ235" s="31"/>
      <c r="AK235" s="32"/>
      <c r="AL235" s="35"/>
      <c r="AM235" s="32"/>
      <c r="AN235" s="36"/>
      <c r="AO235" s="36"/>
      <c r="AP235" s="35"/>
      <c r="AQ235" s="32"/>
      <c r="AR235" s="36"/>
      <c r="AS235" s="36"/>
      <c r="AU235" s="5"/>
      <c r="AV235" s="37"/>
    </row>
    <row r="236" spans="1:48" ht="15.75" customHeight="1">
      <c r="A236" s="23"/>
      <c r="B236" s="7"/>
      <c r="C236" s="7" t="s">
        <v>228</v>
      </c>
      <c r="D236" s="30"/>
      <c r="E236" s="7"/>
      <c r="F236" s="7"/>
      <c r="G236" s="30"/>
      <c r="H236" s="116" t="s">
        <v>508</v>
      </c>
      <c r="I236" s="116"/>
      <c r="J236" s="4" t="s">
        <v>506</v>
      </c>
      <c r="K236" s="4" t="s">
        <v>509</v>
      </c>
      <c r="L236" s="114">
        <f>N64/1000</f>
        <v>0</v>
      </c>
      <c r="M236" s="114"/>
      <c r="N236" s="114"/>
      <c r="O236" s="4" t="s">
        <v>510</v>
      </c>
      <c r="P236" s="114">
        <f>L51/1000</f>
        <v>0.02</v>
      </c>
      <c r="Q236" s="114"/>
      <c r="R236" s="114"/>
      <c r="S236" s="4" t="s">
        <v>510</v>
      </c>
      <c r="T236" s="114">
        <f>L53/1000</f>
        <v>0.15</v>
      </c>
      <c r="U236" s="114"/>
      <c r="V236" s="114"/>
      <c r="W236" s="4" t="s">
        <v>511</v>
      </c>
      <c r="X236" s="7" t="s">
        <v>512</v>
      </c>
      <c r="Y236" s="7"/>
      <c r="Z236" s="7"/>
      <c r="AA236" s="7"/>
      <c r="AB236" s="7"/>
      <c r="AC236" s="7"/>
      <c r="AD236" s="7"/>
      <c r="AE236" s="7"/>
      <c r="AF236" s="7"/>
      <c r="AG236" s="7"/>
      <c r="AJ236" s="31"/>
      <c r="AK236" s="32"/>
      <c r="AL236" s="35"/>
      <c r="AM236" s="32"/>
      <c r="AN236" s="36"/>
      <c r="AO236" s="36"/>
      <c r="AP236" s="35"/>
      <c r="AQ236" s="32"/>
      <c r="AR236" s="36"/>
      <c r="AS236" s="36"/>
      <c r="AU236" s="5"/>
      <c r="AV236" s="37"/>
    </row>
    <row r="237" spans="1:33" ht="15.75" customHeight="1">
      <c r="A237" s="23"/>
      <c r="B237" s="7"/>
      <c r="C237" s="7"/>
      <c r="D237" s="30"/>
      <c r="E237" s="7"/>
      <c r="F237" s="7"/>
      <c r="G237" s="30"/>
      <c r="H237" s="116"/>
      <c r="I237" s="116"/>
      <c r="J237" s="4" t="s">
        <v>502</v>
      </c>
      <c r="K237" s="114">
        <f>L236+P236+T236</f>
        <v>0.16999999999999998</v>
      </c>
      <c r="L237" s="114"/>
      <c r="M237" s="114"/>
      <c r="N237" s="7" t="s">
        <v>539</v>
      </c>
      <c r="O237" s="7"/>
      <c r="P237" s="7"/>
      <c r="Q237" s="7"/>
      <c r="R237" s="7"/>
      <c r="S237" s="7"/>
      <c r="T237" s="7"/>
      <c r="U237" s="7"/>
      <c r="X237" s="7" t="s">
        <v>230</v>
      </c>
      <c r="Y237" s="93"/>
      <c r="Z237" s="94"/>
      <c r="AA237" s="93"/>
      <c r="AB237" s="95"/>
      <c r="AC237" s="95"/>
      <c r="AD237" s="94"/>
      <c r="AE237" s="93"/>
      <c r="AF237" s="95"/>
      <c r="AG237" s="95"/>
    </row>
    <row r="238" spans="1:45" ht="15.75" customHeight="1">
      <c r="A238" s="23"/>
      <c r="B238" s="7"/>
      <c r="C238" s="7" t="s">
        <v>234</v>
      </c>
      <c r="D238" s="30"/>
      <c r="E238" s="7"/>
      <c r="F238" s="7"/>
      <c r="G238" s="30"/>
      <c r="H238" s="116" t="s">
        <v>540</v>
      </c>
      <c r="I238" s="116"/>
      <c r="J238" s="4" t="s">
        <v>502</v>
      </c>
      <c r="K238" s="122">
        <f>ROUND((1+SIN(N58*PI()/180))/(1-SIN(N58*PI()/180))*EXP(PI()*TAN(N58*PI()/180)),2)</f>
        <v>1</v>
      </c>
      <c r="L238" s="122"/>
      <c r="M238" s="122"/>
      <c r="N238" s="123" t="str">
        <f>N208</f>
        <v>（φ＝0°）</v>
      </c>
      <c r="O238" s="123"/>
      <c r="P238" s="123"/>
      <c r="Q238" s="123"/>
      <c r="R238" s="123"/>
      <c r="S238" s="123"/>
      <c r="T238" s="123"/>
      <c r="U238" s="123"/>
      <c r="V238" s="123"/>
      <c r="W238" s="7" t="s">
        <v>500</v>
      </c>
      <c r="X238" s="7"/>
      <c r="Y238" s="7"/>
      <c r="Z238" s="7"/>
      <c r="AA238" s="7"/>
      <c r="AB238" s="7"/>
      <c r="AC238" s="7"/>
      <c r="AD238" s="7"/>
      <c r="AE238" s="7"/>
      <c r="AF238" s="7"/>
      <c r="AG238" s="7"/>
      <c r="AJ238" s="31"/>
      <c r="AK238" s="32"/>
      <c r="AL238" s="35"/>
      <c r="AM238" s="32"/>
      <c r="AN238" s="36"/>
      <c r="AO238" s="36"/>
      <c r="AP238" s="35"/>
      <c r="AQ238" s="32"/>
      <c r="AR238" s="36"/>
      <c r="AS238" s="36"/>
    </row>
    <row r="239" spans="3:30" ht="15.75" customHeight="1">
      <c r="C239" s="125" t="s">
        <v>564</v>
      </c>
      <c r="D239" s="123"/>
      <c r="E239" s="123"/>
      <c r="F239" s="123"/>
      <c r="G239" s="123"/>
      <c r="H239" s="116" t="s">
        <v>570</v>
      </c>
      <c r="I239" s="116"/>
      <c r="J239" s="4" t="s">
        <v>161</v>
      </c>
      <c r="K239" s="116" t="s">
        <v>569</v>
      </c>
      <c r="L239" s="116"/>
      <c r="M239" s="4" t="s">
        <v>161</v>
      </c>
      <c r="N239" s="185">
        <f>V212</f>
        <v>0.7646530864197532</v>
      </c>
      <c r="O239" s="185"/>
      <c r="P239" s="185"/>
      <c r="Q239" s="92"/>
      <c r="R239" s="7"/>
      <c r="S239" s="7"/>
      <c r="T239" s="12"/>
      <c r="U239" s="4"/>
      <c r="V239" s="12"/>
      <c r="W239" s="12"/>
      <c r="X239" s="4"/>
      <c r="Y239" s="92"/>
      <c r="Z239" s="92"/>
      <c r="AA239" s="4"/>
      <c r="AB239" s="91"/>
      <c r="AC239" s="91"/>
      <c r="AD239" s="91"/>
    </row>
    <row r="240" spans="3:29" ht="15.75" customHeight="1">
      <c r="C240" s="123"/>
      <c r="D240" s="123"/>
      <c r="E240" s="123"/>
      <c r="F240" s="123"/>
      <c r="G240" s="123"/>
      <c r="H240" s="4"/>
      <c r="I240" s="4"/>
      <c r="J240" s="4"/>
      <c r="K240" s="4"/>
      <c r="L240" s="19"/>
      <c r="M240" s="4"/>
      <c r="N240" s="14"/>
      <c r="O240" s="14"/>
      <c r="P240" s="4"/>
      <c r="Q240" s="4"/>
      <c r="R240" s="4"/>
      <c r="S240" s="4"/>
      <c r="T240" s="92"/>
      <c r="U240" s="4"/>
      <c r="V240" s="91"/>
      <c r="W240" s="91"/>
      <c r="X240" s="91"/>
      <c r="Y240" s="7"/>
      <c r="Z240" s="7"/>
      <c r="AA240" s="7"/>
      <c r="AB240" s="7"/>
      <c r="AC240" s="7"/>
    </row>
    <row r="241" spans="1:45" ht="15.75" customHeight="1">
      <c r="A241" s="23"/>
      <c r="B241" s="7"/>
      <c r="C241" s="7"/>
      <c r="D241" s="30"/>
      <c r="E241" s="7"/>
      <c r="F241" s="7"/>
      <c r="G241" s="30"/>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J241" s="31"/>
      <c r="AK241" s="32"/>
      <c r="AL241" s="35"/>
      <c r="AM241" s="32"/>
      <c r="AN241" s="36"/>
      <c r="AO241" s="36"/>
      <c r="AP241" s="35"/>
      <c r="AQ241" s="32"/>
      <c r="AR241" s="36"/>
      <c r="AS241" s="36"/>
    </row>
    <row r="242" spans="1:45" ht="15.75" customHeight="1">
      <c r="A242" s="23"/>
      <c r="B242" s="7" t="s">
        <v>541</v>
      </c>
      <c r="C242" s="7"/>
      <c r="D242" s="30"/>
      <c r="E242" s="7"/>
      <c r="F242" s="7"/>
      <c r="G242" s="30" t="s">
        <v>542</v>
      </c>
      <c r="H242" s="7"/>
      <c r="I242" s="7"/>
      <c r="J242" s="7"/>
      <c r="K242" s="4"/>
      <c r="L242" s="4" t="s">
        <v>502</v>
      </c>
      <c r="M242" s="114">
        <f>N239</f>
        <v>0.7646530864197532</v>
      </c>
      <c r="N242" s="114"/>
      <c r="O242" s="114"/>
      <c r="P242" s="4" t="s">
        <v>503</v>
      </c>
      <c r="Q242" s="124">
        <f>K233</f>
        <v>5</v>
      </c>
      <c r="R242" s="124"/>
      <c r="S242" s="124"/>
      <c r="T242" s="4" t="s">
        <v>503</v>
      </c>
      <c r="U242" s="114">
        <f>K237</f>
        <v>0.16999999999999998</v>
      </c>
      <c r="V242" s="114"/>
      <c r="W242" s="114"/>
      <c r="X242" s="4" t="s">
        <v>503</v>
      </c>
      <c r="Y242" s="117">
        <f>K238</f>
        <v>1</v>
      </c>
      <c r="Z242" s="117"/>
      <c r="AA242" s="117"/>
      <c r="AB242" s="27"/>
      <c r="AC242" s="27"/>
      <c r="AD242" s="27"/>
      <c r="AE242" s="27"/>
      <c r="AF242" s="7"/>
      <c r="AG242" s="7"/>
      <c r="AJ242" s="31"/>
      <c r="AK242" s="32"/>
      <c r="AL242" s="35"/>
      <c r="AM242" s="32"/>
      <c r="AN242" s="36"/>
      <c r="AO242" s="36"/>
      <c r="AP242" s="35"/>
      <c r="AQ242" s="32"/>
      <c r="AR242" s="36"/>
      <c r="AS242" s="36"/>
    </row>
    <row r="243" spans="1:45" ht="15.75" customHeight="1">
      <c r="A243" s="23"/>
      <c r="B243" s="7"/>
      <c r="C243" s="7"/>
      <c r="D243" s="30"/>
      <c r="E243" s="7"/>
      <c r="F243" s="7"/>
      <c r="G243" s="30"/>
      <c r="H243" s="7"/>
      <c r="I243" s="7"/>
      <c r="J243" s="7"/>
      <c r="K243" s="7"/>
      <c r="L243" s="4" t="s">
        <v>502</v>
      </c>
      <c r="M243" s="117">
        <f>ROUND(M242*Q242*U242*Y242,2)</f>
        <v>0.65</v>
      </c>
      <c r="N243" s="117"/>
      <c r="O243" s="117"/>
      <c r="P243" s="7" t="s">
        <v>504</v>
      </c>
      <c r="Q243" s="7"/>
      <c r="R243" s="7"/>
      <c r="S243" s="7"/>
      <c r="T243" s="7"/>
      <c r="U243" s="7"/>
      <c r="V243" s="7"/>
      <c r="W243" s="7"/>
      <c r="X243" s="7"/>
      <c r="Y243" s="7"/>
      <c r="Z243" s="7"/>
      <c r="AA243" s="7"/>
      <c r="AB243" s="7"/>
      <c r="AC243" s="7"/>
      <c r="AD243" s="7"/>
      <c r="AE243" s="7"/>
      <c r="AF243" s="7"/>
      <c r="AG243" s="7"/>
      <c r="AJ243" s="31"/>
      <c r="AK243" s="32"/>
      <c r="AL243" s="35"/>
      <c r="AM243" s="32"/>
      <c r="AN243" s="36"/>
      <c r="AO243" s="36"/>
      <c r="AP243" s="35"/>
      <c r="AQ243" s="32"/>
      <c r="AR243" s="36"/>
      <c r="AS243" s="36"/>
    </row>
    <row r="244" spans="1:45" ht="15.75" customHeight="1">
      <c r="A244" s="23"/>
      <c r="B244" s="7"/>
      <c r="C244" s="7"/>
      <c r="D244" s="30"/>
      <c r="E244" s="7"/>
      <c r="F244" s="7"/>
      <c r="G244" s="30"/>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J244" s="31"/>
      <c r="AK244" s="32"/>
      <c r="AL244" s="35"/>
      <c r="AM244" s="32"/>
      <c r="AN244" s="36"/>
      <c r="AO244" s="36"/>
      <c r="AP244" s="35"/>
      <c r="AQ244" s="32"/>
      <c r="AR244" s="36"/>
      <c r="AS244" s="36"/>
    </row>
    <row r="245" spans="2:24" ht="15.75" customHeight="1">
      <c r="B245" s="3" t="s">
        <v>242</v>
      </c>
      <c r="C245" s="7"/>
      <c r="D245" s="7"/>
      <c r="E245" s="7"/>
      <c r="F245" s="7"/>
      <c r="G245" s="7"/>
      <c r="H245" s="7"/>
      <c r="I245" s="7"/>
      <c r="J245" s="7"/>
      <c r="K245" s="7"/>
      <c r="L245" s="7"/>
      <c r="M245" s="7"/>
      <c r="N245" s="7"/>
      <c r="O245" s="7"/>
      <c r="P245" s="7"/>
      <c r="Q245" s="7"/>
      <c r="R245" s="7"/>
      <c r="S245" s="7"/>
      <c r="T245" s="7"/>
      <c r="U245" s="7"/>
      <c r="V245" s="7"/>
      <c r="W245" s="7"/>
      <c r="X245" s="7"/>
    </row>
    <row r="246" spans="3:24" ht="15.75" customHeight="1">
      <c r="C246" s="116" t="s">
        <v>543</v>
      </c>
      <c r="D246" s="116"/>
      <c r="E246" s="4" t="s">
        <v>502</v>
      </c>
      <c r="F246" s="123" t="s">
        <v>544</v>
      </c>
      <c r="G246" s="123"/>
      <c r="H246" s="123"/>
      <c r="I246" s="123"/>
      <c r="J246" s="123"/>
      <c r="K246" s="123"/>
      <c r="L246" s="123"/>
      <c r="M246" s="123"/>
      <c r="N246" s="123"/>
      <c r="O246" s="123"/>
      <c r="P246" s="123"/>
      <c r="Q246" s="123"/>
      <c r="R246" s="123"/>
      <c r="S246" s="123"/>
      <c r="T246" s="123"/>
      <c r="U246" s="123"/>
      <c r="V246" s="123"/>
      <c r="W246" s="7"/>
      <c r="X246" s="7"/>
    </row>
    <row r="247" spans="5:22" ht="15.75" customHeight="1">
      <c r="E247" s="4" t="s">
        <v>502</v>
      </c>
      <c r="F247" s="114">
        <f>Y203</f>
        <v>1.376</v>
      </c>
      <c r="G247" s="114"/>
      <c r="H247" s="114"/>
      <c r="I247" s="4" t="s">
        <v>503</v>
      </c>
      <c r="J247" s="4" t="s">
        <v>545</v>
      </c>
      <c r="K247" s="117">
        <f>L215</f>
        <v>39</v>
      </c>
      <c r="L247" s="117"/>
      <c r="M247" s="117"/>
      <c r="N247" s="4" t="s">
        <v>546</v>
      </c>
      <c r="O247" s="117">
        <f>M230</f>
        <v>0</v>
      </c>
      <c r="P247" s="117"/>
      <c r="Q247" s="117"/>
      <c r="R247" s="4" t="s">
        <v>546</v>
      </c>
      <c r="S247" s="117">
        <f>M243</f>
        <v>0.65</v>
      </c>
      <c r="T247" s="117"/>
      <c r="U247" s="117"/>
      <c r="V247" s="4" t="s">
        <v>547</v>
      </c>
    </row>
    <row r="248" spans="5:9" ht="15.75" customHeight="1">
      <c r="E248" s="4" t="s">
        <v>502</v>
      </c>
      <c r="F248" s="117">
        <f>ROUND(F247*(K247+O247+S247),2)</f>
        <v>54.56</v>
      </c>
      <c r="G248" s="117"/>
      <c r="H248" s="117"/>
      <c r="I248" s="3" t="s">
        <v>548</v>
      </c>
    </row>
    <row r="250" ht="15.75" customHeight="1">
      <c r="B250" s="3" t="s">
        <v>245</v>
      </c>
    </row>
    <row r="251" spans="3:18" ht="15.75" customHeight="1">
      <c r="C251" s="116" t="s">
        <v>549</v>
      </c>
      <c r="D251" s="116"/>
      <c r="E251" s="116" t="s">
        <v>502</v>
      </c>
      <c r="F251" s="118" t="s">
        <v>543</v>
      </c>
      <c r="G251" s="118"/>
      <c r="H251" s="118"/>
      <c r="I251" s="116" t="s">
        <v>502</v>
      </c>
      <c r="J251" s="119">
        <f>F248</f>
        <v>54.56</v>
      </c>
      <c r="K251" s="119"/>
      <c r="L251" s="119"/>
      <c r="M251" s="116" t="s">
        <v>502</v>
      </c>
      <c r="N251" s="117">
        <f>ROUND(J251/J252,2)</f>
        <v>18.19</v>
      </c>
      <c r="O251" s="117"/>
      <c r="P251" s="117"/>
      <c r="Q251" s="120" t="s">
        <v>548</v>
      </c>
      <c r="R251" s="120"/>
    </row>
    <row r="252" spans="3:18" ht="15.75" customHeight="1">
      <c r="C252" s="116"/>
      <c r="D252" s="116"/>
      <c r="E252" s="116"/>
      <c r="F252" s="121" t="s">
        <v>550</v>
      </c>
      <c r="G252" s="121"/>
      <c r="H252" s="121"/>
      <c r="I252" s="116"/>
      <c r="J252" s="194">
        <v>3</v>
      </c>
      <c r="K252" s="194"/>
      <c r="L252" s="194"/>
      <c r="M252" s="116"/>
      <c r="N252" s="117"/>
      <c r="O252" s="117"/>
      <c r="P252" s="117"/>
      <c r="Q252" s="120"/>
      <c r="R252" s="120"/>
    </row>
    <row r="253" spans="4:16" ht="15.75" customHeight="1">
      <c r="D253" s="4"/>
      <c r="E253" s="4"/>
      <c r="F253" s="4"/>
      <c r="G253" s="4"/>
      <c r="H253" s="4"/>
      <c r="I253" s="4"/>
      <c r="J253" s="15"/>
      <c r="K253" s="15"/>
      <c r="L253" s="15"/>
      <c r="M253" s="4"/>
      <c r="N253" s="16"/>
      <c r="O253" s="16"/>
      <c r="P253" s="16"/>
    </row>
    <row r="254" spans="3:18" ht="15.75" customHeight="1">
      <c r="C254" s="116" t="s">
        <v>551</v>
      </c>
      <c r="D254" s="116"/>
      <c r="E254" s="4" t="s">
        <v>502</v>
      </c>
      <c r="F254" s="117">
        <f>J160</f>
        <v>32.64</v>
      </c>
      <c r="G254" s="117"/>
      <c r="H254" s="117"/>
      <c r="I254" s="3" t="s">
        <v>548</v>
      </c>
      <c r="J254" s="15"/>
      <c r="K254" s="15" t="str">
        <f>IF(F254&gt;O254,"&gt;","≦""")</f>
        <v>&gt;</v>
      </c>
      <c r="L254" s="116" t="s">
        <v>549</v>
      </c>
      <c r="M254" s="116"/>
      <c r="N254" s="4" t="s">
        <v>502</v>
      </c>
      <c r="O254" s="117">
        <f>N251</f>
        <v>18.19</v>
      </c>
      <c r="P254" s="117"/>
      <c r="Q254" s="117"/>
      <c r="R254" s="3" t="s">
        <v>548</v>
      </c>
    </row>
    <row r="256" spans="2:7" ht="15.75" customHeight="1">
      <c r="B256" s="116" t="s">
        <v>551</v>
      </c>
      <c r="C256" s="116"/>
      <c r="D256" s="14" t="str">
        <f>K254</f>
        <v>&gt;</v>
      </c>
      <c r="E256" s="116" t="s">
        <v>549</v>
      </c>
      <c r="F256" s="116"/>
      <c r="G256" s="5" t="str">
        <f>IF(F254&gt;O254,"であるため、丸太杭－底板系基礎の計算を行う。","であるため、丸太杭は不要である。。""")</f>
        <v>であるため、丸太杭－底板系基礎の計算を行う。</v>
      </c>
    </row>
    <row r="257" spans="5:6" ht="15.75" customHeight="1">
      <c r="E257" s="4"/>
      <c r="F257" s="4"/>
    </row>
    <row r="258" spans="1:46" ht="15.75" customHeight="1">
      <c r="A258" s="23" t="s">
        <v>247</v>
      </c>
      <c r="B258" s="7"/>
      <c r="D258" s="4"/>
      <c r="E258" s="4"/>
      <c r="F258" s="9"/>
      <c r="G258" s="9"/>
      <c r="H258" s="9"/>
      <c r="I258" s="9"/>
      <c r="J258" s="9"/>
      <c r="K258" s="9"/>
      <c r="L258" s="9"/>
      <c r="M258" s="9"/>
      <c r="N258" s="9"/>
      <c r="O258" s="9"/>
      <c r="P258" s="9"/>
      <c r="Q258" s="4"/>
      <c r="R258" s="7"/>
      <c r="S258" s="7"/>
      <c r="T258" s="7"/>
      <c r="U258" s="7"/>
      <c r="V258" s="7"/>
      <c r="W258" s="7"/>
      <c r="X258" s="7"/>
      <c r="Y258" s="7"/>
      <c r="Z258" s="7"/>
      <c r="AA258" s="7"/>
      <c r="AB258" s="7"/>
      <c r="AC258" s="7"/>
      <c r="AD258" s="7"/>
      <c r="AE258" s="7"/>
      <c r="AF258" s="7"/>
      <c r="AG258" s="7"/>
      <c r="AJ258" s="1"/>
      <c r="AK258" s="31"/>
      <c r="AL258" s="32"/>
      <c r="AM258" s="32"/>
      <c r="AN258" s="32"/>
      <c r="AO258" s="32"/>
      <c r="AP258" s="32"/>
      <c r="AQ258" s="33"/>
      <c r="AR258" s="33"/>
      <c r="AS258" s="33"/>
      <c r="AT258" s="31"/>
    </row>
    <row r="259" spans="1:46" ht="15.75" customHeight="1">
      <c r="A259" s="23"/>
      <c r="B259" s="7"/>
      <c r="D259" s="4"/>
      <c r="E259" s="4"/>
      <c r="F259" s="9"/>
      <c r="G259" s="9"/>
      <c r="H259" s="9"/>
      <c r="I259" s="9"/>
      <c r="J259" s="9"/>
      <c r="K259" s="9"/>
      <c r="L259" s="9"/>
      <c r="M259" s="9"/>
      <c r="N259" s="9"/>
      <c r="O259" s="9"/>
      <c r="P259" s="9"/>
      <c r="Q259" s="4"/>
      <c r="R259" s="7"/>
      <c r="S259" s="7"/>
      <c r="T259" s="7"/>
      <c r="U259" s="7"/>
      <c r="V259" s="7"/>
      <c r="W259" s="7"/>
      <c r="X259" s="7"/>
      <c r="Y259" s="7"/>
      <c r="Z259" s="7"/>
      <c r="AA259" s="7"/>
      <c r="AB259" s="7"/>
      <c r="AC259" s="7"/>
      <c r="AD259" s="7"/>
      <c r="AE259" s="7"/>
      <c r="AF259" s="7"/>
      <c r="AG259" s="7"/>
      <c r="AJ259" s="1"/>
      <c r="AK259" s="31"/>
      <c r="AL259" s="32"/>
      <c r="AM259" s="32"/>
      <c r="AN259" s="32"/>
      <c r="AO259" s="32"/>
      <c r="AP259" s="32"/>
      <c r="AQ259" s="33"/>
      <c r="AR259" s="33"/>
      <c r="AS259" s="33"/>
      <c r="AT259" s="31"/>
    </row>
    <row r="260" spans="1:48" ht="15.75" customHeight="1">
      <c r="A260" s="23"/>
      <c r="B260" s="7"/>
      <c r="C260" s="7" t="s">
        <v>215</v>
      </c>
      <c r="D260" s="30"/>
      <c r="E260" s="7"/>
      <c r="F260" s="7"/>
      <c r="G260" s="30"/>
      <c r="H260" s="116" t="s">
        <v>552</v>
      </c>
      <c r="I260" s="116"/>
      <c r="J260" s="4" t="s">
        <v>502</v>
      </c>
      <c r="K260" s="116" t="s">
        <v>553</v>
      </c>
      <c r="L260" s="116"/>
      <c r="M260" s="4" t="s">
        <v>554</v>
      </c>
      <c r="N260" s="116" t="s">
        <v>555</v>
      </c>
      <c r="O260" s="116"/>
      <c r="P260" s="4" t="s">
        <v>502</v>
      </c>
      <c r="Q260" s="117">
        <f>N186</f>
        <v>0.85</v>
      </c>
      <c r="R260" s="117"/>
      <c r="S260" s="117"/>
      <c r="T260" s="4" t="s">
        <v>554</v>
      </c>
      <c r="U260" s="7">
        <v>2</v>
      </c>
      <c r="V260" s="4" t="s">
        <v>503</v>
      </c>
      <c r="W260" s="114">
        <f>ABS(V186)</f>
        <v>0.138</v>
      </c>
      <c r="X260" s="114"/>
      <c r="Y260" s="114"/>
      <c r="Z260" s="4" t="s">
        <v>502</v>
      </c>
      <c r="AA260" s="114">
        <f>ROUND(Q260-U260*W260,3)</f>
        <v>0.574</v>
      </c>
      <c r="AB260" s="114"/>
      <c r="AC260" s="114"/>
      <c r="AD260" s="7" t="s">
        <v>539</v>
      </c>
      <c r="AE260" s="7"/>
      <c r="AF260" s="7"/>
      <c r="AG260" s="7"/>
      <c r="AJ260" s="115"/>
      <c r="AK260" s="115"/>
      <c r="AL260" s="33"/>
      <c r="AM260" s="1"/>
      <c r="AN260" s="1"/>
      <c r="AO260" s="1"/>
      <c r="AQ260" s="34"/>
      <c r="AR260" s="1"/>
      <c r="AS260" s="1"/>
      <c r="AU260" s="1"/>
      <c r="AV260" s="34"/>
    </row>
    <row r="261" spans="1:48" ht="15.75" customHeight="1">
      <c r="A261" s="23"/>
      <c r="B261" s="7"/>
      <c r="C261" s="7" t="s">
        <v>219</v>
      </c>
      <c r="D261" s="30"/>
      <c r="E261" s="7"/>
      <c r="F261" s="7"/>
      <c r="G261" s="30"/>
      <c r="H261" s="116" t="s">
        <v>556</v>
      </c>
      <c r="I261" s="116"/>
      <c r="J261" s="4" t="s">
        <v>502</v>
      </c>
      <c r="K261" s="116" t="s">
        <v>557</v>
      </c>
      <c r="L261" s="116"/>
      <c r="M261" s="116"/>
      <c r="N261" s="116"/>
      <c r="O261" s="116"/>
      <c r="P261" s="4" t="s">
        <v>502</v>
      </c>
      <c r="Q261" s="114">
        <f>AA260</f>
        <v>0.574</v>
      </c>
      <c r="R261" s="114"/>
      <c r="S261" s="114"/>
      <c r="T261" s="4" t="s">
        <v>503</v>
      </c>
      <c r="U261" s="117">
        <f>U203</f>
        <v>2</v>
      </c>
      <c r="V261" s="117"/>
      <c r="W261" s="117"/>
      <c r="X261" s="4" t="s">
        <v>502</v>
      </c>
      <c r="Y261" s="114">
        <f>ROUND(Q261*U261,3)</f>
        <v>1.148</v>
      </c>
      <c r="Z261" s="114"/>
      <c r="AA261" s="114"/>
      <c r="AB261" s="7" t="s">
        <v>558</v>
      </c>
      <c r="AC261" s="7"/>
      <c r="AD261" s="7"/>
      <c r="AE261" s="7"/>
      <c r="AF261" s="7"/>
      <c r="AG261" s="7"/>
      <c r="AJ261" s="31"/>
      <c r="AK261" s="32"/>
      <c r="AL261" s="35"/>
      <c r="AM261" s="32"/>
      <c r="AN261" s="36"/>
      <c r="AO261" s="36"/>
      <c r="AP261" s="35"/>
      <c r="AQ261" s="32"/>
      <c r="AR261" s="36"/>
      <c r="AS261" s="36"/>
      <c r="AU261" s="5"/>
      <c r="AV261" s="37"/>
    </row>
    <row r="262" spans="1:33" ht="15.75" customHeight="1">
      <c r="A262" s="23"/>
      <c r="B262" s="7"/>
      <c r="C262" s="7"/>
      <c r="D262" s="30"/>
      <c r="E262" s="7"/>
      <c r="F262" s="7"/>
      <c r="G262" s="30"/>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row>
    <row r="263" spans="1:48" ht="15.75" customHeight="1">
      <c r="A263" s="23"/>
      <c r="B263" s="7" t="s">
        <v>223</v>
      </c>
      <c r="C263" s="7"/>
      <c r="D263" s="30"/>
      <c r="E263" s="7"/>
      <c r="F263" s="7"/>
      <c r="G263" s="30"/>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J263" s="31"/>
      <c r="AK263" s="32"/>
      <c r="AL263" s="35"/>
      <c r="AM263" s="32"/>
      <c r="AN263" s="36"/>
      <c r="AO263" s="36"/>
      <c r="AP263" s="35"/>
      <c r="AQ263" s="32"/>
      <c r="AR263" s="36"/>
      <c r="AS263" s="36"/>
      <c r="AU263" s="5"/>
      <c r="AV263" s="37"/>
    </row>
    <row r="264" spans="1:48" ht="15.75" customHeight="1">
      <c r="A264" s="23"/>
      <c r="B264" s="7"/>
      <c r="C264" s="3" t="s">
        <v>224</v>
      </c>
      <c r="D264" s="30"/>
      <c r="E264" s="7"/>
      <c r="F264" s="7"/>
      <c r="G264" s="30"/>
      <c r="H264" s="116" t="s">
        <v>505</v>
      </c>
      <c r="I264" s="116"/>
      <c r="J264" s="4" t="s">
        <v>161</v>
      </c>
      <c r="K264" s="117">
        <v>1</v>
      </c>
      <c r="L264" s="117"/>
      <c r="M264" s="117"/>
      <c r="N264" s="7"/>
      <c r="O264" s="7" t="s">
        <v>507</v>
      </c>
      <c r="P264" s="7"/>
      <c r="Q264" s="7"/>
      <c r="R264" s="7"/>
      <c r="S264" s="7"/>
      <c r="T264" s="7"/>
      <c r="U264" s="7"/>
      <c r="V264" s="7"/>
      <c r="W264" s="7"/>
      <c r="X264" s="7"/>
      <c r="Y264" s="7"/>
      <c r="Z264" s="7"/>
      <c r="AA264" s="7"/>
      <c r="AB264" s="7"/>
      <c r="AC264" s="7"/>
      <c r="AD264" s="7"/>
      <c r="AE264" s="7"/>
      <c r="AF264" s="7"/>
      <c r="AG264" s="7"/>
      <c r="AJ264" s="31"/>
      <c r="AK264" s="32"/>
      <c r="AL264" s="35"/>
      <c r="AM264" s="32"/>
      <c r="AN264" s="36"/>
      <c r="AO264" s="36"/>
      <c r="AP264" s="35"/>
      <c r="AQ264" s="32"/>
      <c r="AR264" s="36"/>
      <c r="AS264" s="36"/>
      <c r="AU264" s="5"/>
      <c r="AV264" s="37"/>
    </row>
    <row r="265" spans="1:48" ht="15.75" customHeight="1">
      <c r="A265" s="23"/>
      <c r="B265" s="7"/>
      <c r="C265" s="7" t="s">
        <v>231</v>
      </c>
      <c r="D265" s="30"/>
      <c r="E265" s="7"/>
      <c r="F265" s="7"/>
      <c r="G265" s="30"/>
      <c r="H265" s="116" t="s">
        <v>232</v>
      </c>
      <c r="I265" s="116"/>
      <c r="J265" s="4" t="s">
        <v>161</v>
      </c>
      <c r="K265" s="117">
        <f>N57</f>
        <v>10</v>
      </c>
      <c r="L265" s="117"/>
      <c r="M265" s="117"/>
      <c r="N265" s="7" t="s">
        <v>61</v>
      </c>
      <c r="O265" s="7"/>
      <c r="P265" s="7"/>
      <c r="Q265" s="7"/>
      <c r="S265" s="7"/>
      <c r="T265" s="7"/>
      <c r="U265" s="7"/>
      <c r="V265" s="7"/>
      <c r="W265" s="7"/>
      <c r="X265" s="7"/>
      <c r="Y265" s="7"/>
      <c r="Z265" s="7"/>
      <c r="AA265" s="7"/>
      <c r="AB265" s="7"/>
      <c r="AC265" s="7"/>
      <c r="AD265" s="7"/>
      <c r="AE265" s="7"/>
      <c r="AF265" s="7"/>
      <c r="AG265" s="7"/>
      <c r="AJ265" s="31"/>
      <c r="AK265" s="32"/>
      <c r="AL265" s="35"/>
      <c r="AM265" s="32"/>
      <c r="AN265" s="36"/>
      <c r="AO265" s="36"/>
      <c r="AP265" s="35"/>
      <c r="AQ265" s="32"/>
      <c r="AR265" s="36"/>
      <c r="AS265" s="36"/>
      <c r="AU265" s="5"/>
      <c r="AV265" s="37"/>
    </row>
    <row r="266" spans="1:48" ht="15.75" customHeight="1">
      <c r="A266" s="23"/>
      <c r="B266" s="7"/>
      <c r="C266" s="7" t="s">
        <v>234</v>
      </c>
      <c r="D266" s="30"/>
      <c r="E266" s="7"/>
      <c r="F266" s="7"/>
      <c r="G266" s="30"/>
      <c r="H266" s="116" t="s">
        <v>516</v>
      </c>
      <c r="I266" s="116"/>
      <c r="J266" s="4" t="s">
        <v>161</v>
      </c>
      <c r="K266" s="122">
        <f>IF(N58=0,5.1,(K238-1)*1/TAN(N58*PI()/180))</f>
        <v>5.1</v>
      </c>
      <c r="L266" s="122"/>
      <c r="M266" s="122"/>
      <c r="N266" s="3" t="str">
        <f>CONCATENATE("（φ＝",N58,"°）")</f>
        <v>（φ＝0°）</v>
      </c>
      <c r="W266" s="7" t="s">
        <v>500</v>
      </c>
      <c r="X266" s="7"/>
      <c r="Y266" s="7"/>
      <c r="Z266" s="7"/>
      <c r="AA266" s="7"/>
      <c r="AB266" s="7"/>
      <c r="AC266" s="7"/>
      <c r="AD266" s="7"/>
      <c r="AE266" s="7"/>
      <c r="AF266" s="7"/>
      <c r="AG266" s="7"/>
      <c r="AJ266" s="31"/>
      <c r="AK266" s="32"/>
      <c r="AL266" s="35"/>
      <c r="AM266" s="32"/>
      <c r="AN266" s="36"/>
      <c r="AO266" s="36"/>
      <c r="AP266" s="35"/>
      <c r="AQ266" s="32"/>
      <c r="AR266" s="36"/>
      <c r="AS266" s="36"/>
      <c r="AU266" s="5"/>
      <c r="AV266" s="37"/>
    </row>
    <row r="267" spans="1:48" ht="15.75" customHeight="1">
      <c r="A267" s="23"/>
      <c r="B267" s="7"/>
      <c r="C267" s="123" t="s">
        <v>235</v>
      </c>
      <c r="D267" s="123"/>
      <c r="E267" s="123"/>
      <c r="F267" s="123"/>
      <c r="G267" s="123"/>
      <c r="H267" s="116" t="s">
        <v>517</v>
      </c>
      <c r="I267" s="116"/>
      <c r="J267" s="116" t="s">
        <v>161</v>
      </c>
      <c r="K267" s="118" t="s">
        <v>518</v>
      </c>
      <c r="L267" s="118"/>
      <c r="M267" s="118"/>
      <c r="N267" s="116" t="s">
        <v>161</v>
      </c>
      <c r="O267" s="119">
        <f>M180</f>
        <v>6.51</v>
      </c>
      <c r="P267" s="119"/>
      <c r="Q267" s="119"/>
      <c r="R267" s="116" t="s">
        <v>161</v>
      </c>
      <c r="S267" s="114">
        <f>ROUND(O267/O268,3)</f>
        <v>0.259</v>
      </c>
      <c r="T267" s="114"/>
      <c r="U267" s="114"/>
      <c r="V267" s="7"/>
      <c r="W267" s="116" t="s">
        <v>519</v>
      </c>
      <c r="X267" s="116"/>
      <c r="Y267" s="116" t="s">
        <v>161</v>
      </c>
      <c r="Z267" s="124">
        <f>ROUND(ATAN(S267)*180/PI(),1)</f>
        <v>14.5</v>
      </c>
      <c r="AA267" s="124"/>
      <c r="AB267" s="124"/>
      <c r="AC267" s="123" t="s">
        <v>338</v>
      </c>
      <c r="AD267" s="123"/>
      <c r="AE267" s="7"/>
      <c r="AF267" s="7"/>
      <c r="AG267" s="7"/>
      <c r="AJ267" s="31"/>
      <c r="AK267" s="32"/>
      <c r="AL267" s="35"/>
      <c r="AM267" s="32"/>
      <c r="AN267" s="36"/>
      <c r="AO267" s="36"/>
      <c r="AP267" s="35"/>
      <c r="AQ267" s="32"/>
      <c r="AR267" s="36"/>
      <c r="AS267" s="36"/>
      <c r="AU267" s="5"/>
      <c r="AV267" s="37"/>
    </row>
    <row r="268" spans="1:48" ht="15.75" customHeight="1">
      <c r="A268" s="23"/>
      <c r="B268" s="7"/>
      <c r="C268" s="123"/>
      <c r="D268" s="123"/>
      <c r="E268" s="123"/>
      <c r="F268" s="123"/>
      <c r="G268" s="123"/>
      <c r="H268" s="116"/>
      <c r="I268" s="116"/>
      <c r="J268" s="116"/>
      <c r="K268" s="121" t="s">
        <v>196</v>
      </c>
      <c r="L268" s="121"/>
      <c r="M268" s="121"/>
      <c r="N268" s="116"/>
      <c r="O268" s="184">
        <f>J180</f>
        <v>25.14</v>
      </c>
      <c r="P268" s="184"/>
      <c r="Q268" s="184"/>
      <c r="R268" s="116"/>
      <c r="S268" s="114"/>
      <c r="T268" s="114"/>
      <c r="U268" s="114"/>
      <c r="V268" s="7"/>
      <c r="W268" s="116"/>
      <c r="X268" s="116"/>
      <c r="Y268" s="116"/>
      <c r="Z268" s="124"/>
      <c r="AA268" s="124"/>
      <c r="AB268" s="124"/>
      <c r="AC268" s="123"/>
      <c r="AD268" s="123"/>
      <c r="AE268" s="7"/>
      <c r="AF268" s="7"/>
      <c r="AG268" s="7"/>
      <c r="AI268" s="43"/>
      <c r="AJ268" s="31"/>
      <c r="AK268" s="32"/>
      <c r="AL268" s="35"/>
      <c r="AM268" s="32"/>
      <c r="AN268" s="36"/>
      <c r="AO268" s="36"/>
      <c r="AP268" s="35"/>
      <c r="AQ268" s="32"/>
      <c r="AR268" s="36"/>
      <c r="AS268" s="36"/>
      <c r="AU268" s="5"/>
      <c r="AV268" s="37"/>
    </row>
    <row r="269" spans="3:33" ht="15.75" customHeight="1">
      <c r="C269" s="125" t="s">
        <v>564</v>
      </c>
      <c r="D269" s="123"/>
      <c r="E269" s="123"/>
      <c r="F269" s="123"/>
      <c r="G269" s="123"/>
      <c r="H269" s="116" t="s">
        <v>569</v>
      </c>
      <c r="I269" s="116"/>
      <c r="J269" s="4" t="s">
        <v>161</v>
      </c>
      <c r="K269" s="4" t="s">
        <v>243</v>
      </c>
      <c r="L269" s="19">
        <v>1</v>
      </c>
      <c r="M269" s="4" t="s">
        <v>567</v>
      </c>
      <c r="N269" s="116" t="s">
        <v>519</v>
      </c>
      <c r="O269" s="116"/>
      <c r="P269" s="4" t="s">
        <v>561</v>
      </c>
      <c r="Q269" s="116">
        <v>90</v>
      </c>
      <c r="R269" s="116"/>
      <c r="S269" s="4" t="s">
        <v>560</v>
      </c>
      <c r="T269" s="92">
        <v>2</v>
      </c>
      <c r="U269" s="7"/>
      <c r="V269" s="7"/>
      <c r="W269" s="12"/>
      <c r="X269" s="4"/>
      <c r="Y269" s="12"/>
      <c r="Z269" s="12"/>
      <c r="AA269" s="4"/>
      <c r="AB269" s="92"/>
      <c r="AC269" s="92"/>
      <c r="AD269" s="4"/>
      <c r="AE269" s="91"/>
      <c r="AF269" s="91"/>
      <c r="AG269" s="91"/>
    </row>
    <row r="270" spans="3:29" ht="15.75" customHeight="1">
      <c r="C270" s="123"/>
      <c r="D270" s="123"/>
      <c r="E270" s="123"/>
      <c r="F270" s="123"/>
      <c r="G270" s="123"/>
      <c r="H270" s="4"/>
      <c r="I270" s="4"/>
      <c r="J270" s="4" t="s">
        <v>161</v>
      </c>
      <c r="K270" s="4" t="s">
        <v>243</v>
      </c>
      <c r="L270" s="19">
        <v>1</v>
      </c>
      <c r="M270" s="4" t="s">
        <v>567</v>
      </c>
      <c r="N270" s="186">
        <f>Z267</f>
        <v>14.5</v>
      </c>
      <c r="O270" s="186"/>
      <c r="P270" s="4" t="s">
        <v>561</v>
      </c>
      <c r="Q270" s="116">
        <v>90</v>
      </c>
      <c r="R270" s="116"/>
      <c r="S270" s="4" t="s">
        <v>560</v>
      </c>
      <c r="T270" s="92">
        <v>2</v>
      </c>
      <c r="U270" s="4" t="s">
        <v>161</v>
      </c>
      <c r="V270" s="185">
        <f>(L270-N270/Q270)^2</f>
        <v>0.7037345679012346</v>
      </c>
      <c r="W270" s="185"/>
      <c r="X270" s="185"/>
      <c r="Y270" s="7"/>
      <c r="Z270" s="7"/>
      <c r="AA270" s="7"/>
      <c r="AB270" s="7"/>
      <c r="AC270" s="7"/>
    </row>
    <row r="271" spans="1:48" ht="15.75" customHeight="1">
      <c r="A271" s="23"/>
      <c r="B271" s="7"/>
      <c r="C271" s="7"/>
      <c r="D271" s="30"/>
      <c r="E271" s="7"/>
      <c r="F271" s="7"/>
      <c r="G271" s="30"/>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J271" s="31"/>
      <c r="AK271" s="32"/>
      <c r="AL271" s="35"/>
      <c r="AM271" s="32"/>
      <c r="AN271" s="36"/>
      <c r="AO271" s="36"/>
      <c r="AP271" s="35"/>
      <c r="AQ271" s="32"/>
      <c r="AR271" s="36"/>
      <c r="AS271" s="36"/>
      <c r="AU271" s="5"/>
      <c r="AV271" s="37"/>
    </row>
    <row r="272" spans="1:48" ht="15.75" customHeight="1">
      <c r="A272" s="23"/>
      <c r="B272" s="7" t="s">
        <v>236</v>
      </c>
      <c r="C272" s="7"/>
      <c r="D272" s="30"/>
      <c r="E272" s="7"/>
      <c r="F272" s="7"/>
      <c r="G272" s="30" t="s">
        <v>501</v>
      </c>
      <c r="H272" s="7"/>
      <c r="I272" s="7"/>
      <c r="J272" s="7"/>
      <c r="K272" s="4" t="s">
        <v>161</v>
      </c>
      <c r="L272" s="114">
        <f>V270</f>
        <v>0.7037345679012346</v>
      </c>
      <c r="M272" s="114"/>
      <c r="N272" s="114"/>
      <c r="O272" s="4" t="s">
        <v>172</v>
      </c>
      <c r="P272" s="117">
        <f>K264</f>
        <v>1</v>
      </c>
      <c r="Q272" s="117"/>
      <c r="R272" s="117"/>
      <c r="S272" s="4" t="s">
        <v>172</v>
      </c>
      <c r="T272" s="117">
        <f>K265</f>
        <v>10</v>
      </c>
      <c r="U272" s="117"/>
      <c r="V272" s="117"/>
      <c r="W272" s="4" t="s">
        <v>172</v>
      </c>
      <c r="X272" s="117">
        <f>K266</f>
        <v>5.1</v>
      </c>
      <c r="Y272" s="117"/>
      <c r="Z272" s="117"/>
      <c r="AA272" s="4"/>
      <c r="AB272" s="27"/>
      <c r="AC272" s="27"/>
      <c r="AD272" s="27"/>
      <c r="AE272" s="4"/>
      <c r="AF272" s="7"/>
      <c r="AG272" s="7"/>
      <c r="AJ272" s="31"/>
      <c r="AK272" s="32"/>
      <c r="AL272" s="35"/>
      <c r="AM272" s="32"/>
      <c r="AN272" s="36"/>
      <c r="AO272" s="36"/>
      <c r="AP272" s="35"/>
      <c r="AQ272" s="32"/>
      <c r="AR272" s="36"/>
      <c r="AS272" s="36"/>
      <c r="AU272" s="5"/>
      <c r="AV272" s="37"/>
    </row>
    <row r="273" spans="1:47" ht="15.75" customHeight="1">
      <c r="A273" s="23"/>
      <c r="B273" s="7"/>
      <c r="C273" s="7"/>
      <c r="D273" s="30"/>
      <c r="E273" s="7"/>
      <c r="F273" s="7"/>
      <c r="G273" s="30"/>
      <c r="H273" s="7"/>
      <c r="I273" s="7"/>
      <c r="J273" s="7"/>
      <c r="K273" s="4" t="s">
        <v>161</v>
      </c>
      <c r="L273" s="117">
        <f>ROUND(L272*P272*T272*X272,2)</f>
        <v>35.89</v>
      </c>
      <c r="M273" s="117"/>
      <c r="N273" s="117"/>
      <c r="O273" s="7" t="s">
        <v>61</v>
      </c>
      <c r="P273" s="7"/>
      <c r="Q273" s="7"/>
      <c r="R273" s="7"/>
      <c r="S273" s="7"/>
      <c r="T273" s="7"/>
      <c r="U273" s="7"/>
      <c r="V273" s="7"/>
      <c r="W273" s="7"/>
      <c r="X273" s="7"/>
      <c r="Y273" s="7"/>
      <c r="Z273" s="7"/>
      <c r="AA273" s="7"/>
      <c r="AB273" s="7"/>
      <c r="AC273" s="7"/>
      <c r="AD273" s="7"/>
      <c r="AE273" s="7"/>
      <c r="AF273" s="7"/>
      <c r="AG273" s="7"/>
      <c r="AJ273" s="31"/>
      <c r="AK273" s="32"/>
      <c r="AL273" s="35"/>
      <c r="AM273" s="32"/>
      <c r="AN273" s="36"/>
      <c r="AO273" s="36"/>
      <c r="AP273" s="35"/>
      <c r="AQ273" s="32"/>
      <c r="AR273" s="36"/>
      <c r="AS273" s="36"/>
      <c r="AU273" s="38"/>
    </row>
    <row r="274" spans="1:47" ht="15.75" customHeight="1">
      <c r="A274" s="23"/>
      <c r="B274" s="7"/>
      <c r="C274" s="7"/>
      <c r="D274" s="30"/>
      <c r="E274" s="7"/>
      <c r="F274" s="7"/>
      <c r="G274" s="30"/>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J274" s="31"/>
      <c r="AK274" s="32"/>
      <c r="AL274" s="35"/>
      <c r="AM274" s="32"/>
      <c r="AN274" s="36"/>
      <c r="AO274" s="36"/>
      <c r="AP274" s="35"/>
      <c r="AQ274" s="32"/>
      <c r="AR274" s="36"/>
      <c r="AS274" s="36"/>
      <c r="AU274" s="38"/>
    </row>
    <row r="275" spans="1:33" ht="15.75" customHeight="1">
      <c r="A275" s="23"/>
      <c r="B275" s="7" t="s">
        <v>237</v>
      </c>
      <c r="C275" s="7"/>
      <c r="D275" s="30"/>
      <c r="E275" s="7"/>
      <c r="F275" s="7"/>
      <c r="G275" s="30"/>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1:33" ht="15.75" customHeight="1">
      <c r="A276" s="23"/>
      <c r="B276" s="7"/>
      <c r="C276" s="125" t="s">
        <v>240</v>
      </c>
      <c r="D276" s="123"/>
      <c r="E276" s="123"/>
      <c r="F276" s="123"/>
      <c r="G276" s="123"/>
      <c r="H276" s="116" t="s">
        <v>527</v>
      </c>
      <c r="I276" s="116"/>
      <c r="J276" s="116" t="s">
        <v>161</v>
      </c>
      <c r="K276" s="124">
        <f>N59</f>
        <v>5</v>
      </c>
      <c r="L276" s="124"/>
      <c r="M276" s="124"/>
      <c r="N276" s="123" t="s">
        <v>80</v>
      </c>
      <c r="O276" s="123"/>
      <c r="P276" s="123"/>
      <c r="Q276" s="7"/>
      <c r="R276" s="7"/>
      <c r="S276" s="7"/>
      <c r="T276" s="7"/>
      <c r="U276" s="7"/>
      <c r="V276" s="7"/>
      <c r="W276" s="7"/>
      <c r="X276" s="7"/>
      <c r="Y276" s="7"/>
      <c r="Z276" s="7"/>
      <c r="AA276" s="7"/>
      <c r="AB276" s="7"/>
      <c r="AC276" s="7"/>
      <c r="AD276" s="7"/>
      <c r="AE276" s="7"/>
      <c r="AF276" s="7"/>
      <c r="AG276" s="7"/>
    </row>
    <row r="277" spans="1:33" ht="15.75" customHeight="1">
      <c r="A277" s="23"/>
      <c r="B277" s="7"/>
      <c r="C277" s="123"/>
      <c r="D277" s="123"/>
      <c r="E277" s="123"/>
      <c r="F277" s="123"/>
      <c r="G277" s="123"/>
      <c r="H277" s="116"/>
      <c r="I277" s="116"/>
      <c r="J277" s="116"/>
      <c r="K277" s="124"/>
      <c r="L277" s="124"/>
      <c r="M277" s="124"/>
      <c r="N277" s="123"/>
      <c r="O277" s="123"/>
      <c r="P277" s="123"/>
      <c r="Q277" s="7"/>
      <c r="R277" s="7"/>
      <c r="S277" s="7"/>
      <c r="T277" s="7"/>
      <c r="U277" s="7"/>
      <c r="V277" s="7"/>
      <c r="W277" s="7"/>
      <c r="X277" s="7"/>
      <c r="Y277" s="7"/>
      <c r="Z277" s="7"/>
      <c r="AA277" s="7"/>
      <c r="AB277" s="7"/>
      <c r="AC277" s="7"/>
      <c r="AD277" s="7"/>
      <c r="AE277" s="7"/>
      <c r="AF277" s="7"/>
      <c r="AG277" s="7"/>
    </row>
    <row r="278" spans="3:26" ht="15.75" customHeight="1">
      <c r="C278" s="3" t="s">
        <v>224</v>
      </c>
      <c r="D278" s="3"/>
      <c r="G278" s="3"/>
      <c r="H278" s="116" t="s">
        <v>529</v>
      </c>
      <c r="I278" s="116"/>
      <c r="J278" s="4" t="s">
        <v>161</v>
      </c>
      <c r="K278" s="117">
        <v>0.5</v>
      </c>
      <c r="L278" s="117"/>
      <c r="M278" s="117"/>
      <c r="N278" s="7" t="s">
        <v>530</v>
      </c>
      <c r="Z278" s="3"/>
    </row>
    <row r="279" spans="3:13" ht="15.75" customHeight="1">
      <c r="C279" s="7" t="s">
        <v>215</v>
      </c>
      <c r="H279" s="116" t="s">
        <v>216</v>
      </c>
      <c r="I279" s="116"/>
      <c r="J279" s="4" t="s">
        <v>161</v>
      </c>
      <c r="K279" s="114">
        <f>AA260</f>
        <v>0.574</v>
      </c>
      <c r="L279" s="114"/>
      <c r="M279" s="114"/>
    </row>
    <row r="280" spans="3:19" ht="15.75" customHeight="1">
      <c r="C280" s="125" t="s">
        <v>532</v>
      </c>
      <c r="D280" s="123"/>
      <c r="E280" s="123"/>
      <c r="F280" s="123"/>
      <c r="G280" s="123"/>
      <c r="H280" s="116" t="s">
        <v>559</v>
      </c>
      <c r="I280" s="116"/>
      <c r="J280" s="4" t="s">
        <v>161</v>
      </c>
      <c r="K280" s="4" t="s">
        <v>243</v>
      </c>
      <c r="L280" s="116" t="s">
        <v>2</v>
      </c>
      <c r="M280" s="116"/>
      <c r="N280" s="4" t="s">
        <v>561</v>
      </c>
      <c r="O280" s="116" t="s">
        <v>562</v>
      </c>
      <c r="P280" s="116"/>
      <c r="Q280" s="4" t="s">
        <v>560</v>
      </c>
      <c r="R280" s="209" t="s">
        <v>563</v>
      </c>
      <c r="S280" s="209"/>
    </row>
    <row r="281" spans="3:40" ht="15.75" customHeight="1">
      <c r="C281" s="123"/>
      <c r="D281" s="123"/>
      <c r="E281" s="123"/>
      <c r="F281" s="123"/>
      <c r="G281" s="123"/>
      <c r="H281" s="4"/>
      <c r="I281" s="4"/>
      <c r="J281" s="4" t="s">
        <v>161</v>
      </c>
      <c r="K281" s="4" t="s">
        <v>243</v>
      </c>
      <c r="L281" s="207">
        <f>Q260</f>
        <v>0.85</v>
      </c>
      <c r="M281" s="207"/>
      <c r="N281" s="4" t="s">
        <v>561</v>
      </c>
      <c r="O281" s="207">
        <v>1</v>
      </c>
      <c r="P281" s="207"/>
      <c r="Q281" s="4" t="s">
        <v>560</v>
      </c>
      <c r="R281" s="209" t="s">
        <v>563</v>
      </c>
      <c r="S281" s="209"/>
      <c r="T281" s="4" t="s">
        <v>161</v>
      </c>
      <c r="U281" s="185">
        <f>(L281/O281)^(-1/3)</f>
        <v>1.0556671919780007</v>
      </c>
      <c r="V281" s="185"/>
      <c r="W281" s="185"/>
      <c r="X281" s="4"/>
      <c r="Y281" s="27"/>
      <c r="Z281" s="27"/>
      <c r="AA281" s="27"/>
      <c r="AN281" s="4"/>
    </row>
    <row r="282" spans="3:29" ht="15.75" customHeight="1">
      <c r="C282" s="7" t="s">
        <v>234</v>
      </c>
      <c r="H282" s="116" t="s">
        <v>533</v>
      </c>
      <c r="I282" s="116"/>
      <c r="J282" s="4" t="s">
        <v>161</v>
      </c>
      <c r="K282" s="122">
        <f>(K238-1)*TAN((1.4*N58)*PI()/180)</f>
        <v>0</v>
      </c>
      <c r="L282" s="122"/>
      <c r="M282" s="122"/>
      <c r="N282" s="123" t="str">
        <f>N266</f>
        <v>（φ＝0°）</v>
      </c>
      <c r="O282" s="123"/>
      <c r="P282" s="123"/>
      <c r="Q282" s="123"/>
      <c r="R282" s="123"/>
      <c r="S282" s="123"/>
      <c r="T282" s="123"/>
      <c r="U282" s="123"/>
      <c r="V282" s="123"/>
      <c r="W282" s="7" t="s">
        <v>500</v>
      </c>
      <c r="X282" s="7"/>
      <c r="Y282" s="7"/>
      <c r="Z282" s="7"/>
      <c r="AA282" s="7"/>
      <c r="AB282" s="7"/>
      <c r="AC282" s="7"/>
    </row>
    <row r="283" spans="3:33" ht="15.75" customHeight="1">
      <c r="C283" s="125" t="s">
        <v>564</v>
      </c>
      <c r="D283" s="123"/>
      <c r="E283" s="123"/>
      <c r="F283" s="123"/>
      <c r="G283" s="123"/>
      <c r="H283" s="116" t="s">
        <v>565</v>
      </c>
      <c r="I283" s="116"/>
      <c r="J283" s="4" t="s">
        <v>161</v>
      </c>
      <c r="K283" s="4" t="s">
        <v>243</v>
      </c>
      <c r="L283" s="19">
        <v>1</v>
      </c>
      <c r="M283" s="4" t="s">
        <v>567</v>
      </c>
      <c r="N283" s="116" t="s">
        <v>519</v>
      </c>
      <c r="O283" s="116"/>
      <c r="P283" s="4" t="s">
        <v>561</v>
      </c>
      <c r="Q283" s="116" t="s">
        <v>566</v>
      </c>
      <c r="R283" s="116"/>
      <c r="S283" s="4" t="s">
        <v>560</v>
      </c>
      <c r="T283" s="92">
        <v>2</v>
      </c>
      <c r="U283" s="7"/>
      <c r="V283" s="7" t="s">
        <v>568</v>
      </c>
      <c r="W283" s="12"/>
      <c r="X283" s="4"/>
      <c r="Y283" s="12"/>
      <c r="Z283" s="12"/>
      <c r="AA283" s="4"/>
      <c r="AB283" s="92"/>
      <c r="AC283" s="92"/>
      <c r="AD283" s="4"/>
      <c r="AE283" s="91"/>
      <c r="AF283" s="91"/>
      <c r="AG283" s="91"/>
    </row>
    <row r="284" spans="3:29" ht="15.75" customHeight="1">
      <c r="C284" s="123"/>
      <c r="D284" s="123"/>
      <c r="E284" s="123"/>
      <c r="F284" s="123"/>
      <c r="G284" s="123"/>
      <c r="H284" s="4"/>
      <c r="I284" s="4"/>
      <c r="J284" s="4" t="s">
        <v>161</v>
      </c>
      <c r="K284" s="4" t="s">
        <v>243</v>
      </c>
      <c r="L284" s="19">
        <v>1</v>
      </c>
      <c r="M284" s="4" t="s">
        <v>567</v>
      </c>
      <c r="N284" s="186">
        <f>Z267</f>
        <v>14.5</v>
      </c>
      <c r="O284" s="186"/>
      <c r="P284" s="4" t="s">
        <v>561</v>
      </c>
      <c r="Q284" s="116">
        <f>N58</f>
        <v>0</v>
      </c>
      <c r="R284" s="116"/>
      <c r="S284" s="4" t="s">
        <v>560</v>
      </c>
      <c r="T284" s="92">
        <v>2</v>
      </c>
      <c r="U284" s="4" t="s">
        <v>161</v>
      </c>
      <c r="V284" s="185">
        <f>IF(N284&gt;Q284,0,(L284-N284/Q284)^2)</f>
        <v>0</v>
      </c>
      <c r="W284" s="185"/>
      <c r="X284" s="185"/>
      <c r="Y284" s="7"/>
      <c r="Z284" s="7"/>
      <c r="AA284" s="7"/>
      <c r="AB284" s="7"/>
      <c r="AC284" s="7"/>
    </row>
    <row r="285" spans="3:24" ht="15.75" customHeight="1">
      <c r="C285" s="7"/>
      <c r="D285" s="7"/>
      <c r="E285" s="7"/>
      <c r="F285" s="7"/>
      <c r="G285" s="7"/>
      <c r="H285" s="7"/>
      <c r="I285" s="7"/>
      <c r="J285" s="7"/>
      <c r="K285" s="7"/>
      <c r="L285" s="7"/>
      <c r="M285" s="7"/>
      <c r="N285" s="7"/>
      <c r="O285" s="7"/>
      <c r="P285" s="7"/>
      <c r="Q285" s="7"/>
      <c r="R285" s="7"/>
      <c r="S285" s="7"/>
      <c r="T285" s="7"/>
      <c r="U285" s="7"/>
      <c r="V285" s="7"/>
      <c r="W285" s="7"/>
      <c r="X285" s="7"/>
    </row>
    <row r="286" spans="2:24" ht="15.75" customHeight="1">
      <c r="B286" s="3" t="s">
        <v>534</v>
      </c>
      <c r="C286" s="7"/>
      <c r="D286" s="7"/>
      <c r="E286" s="7"/>
      <c r="F286" s="7"/>
      <c r="G286" s="7"/>
      <c r="H286" s="7"/>
      <c r="I286" s="7"/>
      <c r="J286" s="7"/>
      <c r="K286" s="7"/>
      <c r="L286" s="7"/>
      <c r="M286" s="7"/>
      <c r="N286" s="7"/>
      <c r="O286" s="7"/>
      <c r="P286" s="7"/>
      <c r="Q286" s="7"/>
      <c r="R286" s="7"/>
      <c r="S286" s="7"/>
      <c r="T286" s="7"/>
      <c r="U286" s="7"/>
      <c r="V286" s="7"/>
      <c r="W286" s="7"/>
      <c r="X286" s="7"/>
    </row>
    <row r="287" spans="2:36" ht="15.75" customHeight="1">
      <c r="B287" s="7"/>
      <c r="C287" s="7"/>
      <c r="D287" s="7"/>
      <c r="E287" s="124" t="s">
        <v>535</v>
      </c>
      <c r="F287" s="124"/>
      <c r="G287" s="124"/>
      <c r="H287" s="124"/>
      <c r="I287" s="124"/>
      <c r="J287" s="124"/>
      <c r="K287" s="124"/>
      <c r="L287" s="4" t="s">
        <v>161</v>
      </c>
      <c r="M287" s="114">
        <f>V284</f>
        <v>0</v>
      </c>
      <c r="N287" s="114"/>
      <c r="O287" s="114"/>
      <c r="P287" s="4" t="s">
        <v>172</v>
      </c>
      <c r="Q287" s="117">
        <f>K278</f>
        <v>0.5</v>
      </c>
      <c r="R287" s="117"/>
      <c r="S287" s="4" t="s">
        <v>172</v>
      </c>
      <c r="T287" s="124">
        <f>K276</f>
        <v>5</v>
      </c>
      <c r="U287" s="124"/>
      <c r="V287" s="4" t="s">
        <v>172</v>
      </c>
      <c r="W287" s="114">
        <f>K279</f>
        <v>0.574</v>
      </c>
      <c r="X287" s="114"/>
      <c r="Y287" s="114"/>
      <c r="Z287" s="4" t="s">
        <v>172</v>
      </c>
      <c r="AA287" s="114">
        <f>U281</f>
        <v>1.0556671919780007</v>
      </c>
      <c r="AB287" s="114"/>
      <c r="AC287" s="114"/>
      <c r="AD287" s="4" t="s">
        <v>172</v>
      </c>
      <c r="AE287" s="117">
        <f>K282</f>
        <v>0</v>
      </c>
      <c r="AF287" s="117"/>
      <c r="AG287" s="27"/>
      <c r="AH287" s="27"/>
      <c r="AI287" s="27"/>
      <c r="AJ287" s="30"/>
    </row>
    <row r="288" spans="3:34" ht="15.75" customHeight="1">
      <c r="C288" s="7"/>
      <c r="D288" s="7"/>
      <c r="E288" s="7"/>
      <c r="F288" s="7"/>
      <c r="G288" s="7"/>
      <c r="H288" s="7"/>
      <c r="I288" s="7"/>
      <c r="J288" s="7"/>
      <c r="K288" s="7"/>
      <c r="L288" s="4" t="s">
        <v>161</v>
      </c>
      <c r="M288" s="187">
        <f>ROUND(M287*Q287*T287*W287*AA287*AE287,2)</f>
        <v>0</v>
      </c>
      <c r="N288" s="187"/>
      <c r="O288" s="187"/>
      <c r="P288" s="7" t="s">
        <v>61</v>
      </c>
      <c r="Q288" s="7"/>
      <c r="R288" s="7"/>
      <c r="S288" s="7"/>
      <c r="T288" s="7"/>
      <c r="U288" s="7"/>
      <c r="V288" s="7"/>
      <c r="W288" s="7"/>
      <c r="Y288" s="4"/>
      <c r="Z288" s="3"/>
      <c r="AH288" s="7"/>
    </row>
    <row r="289" spans="3:26" ht="15.75" customHeight="1">
      <c r="C289" s="7"/>
      <c r="D289" s="7"/>
      <c r="E289" s="7"/>
      <c r="F289" s="7"/>
      <c r="G289" s="7"/>
      <c r="H289" s="7"/>
      <c r="I289" s="7"/>
      <c r="J289" s="7"/>
      <c r="K289" s="7"/>
      <c r="L289" s="7"/>
      <c r="M289" s="7"/>
      <c r="N289" s="7"/>
      <c r="O289" s="7"/>
      <c r="P289" s="7"/>
      <c r="Q289" s="7"/>
      <c r="R289" s="7"/>
      <c r="S289" s="7"/>
      <c r="T289" s="7"/>
      <c r="U289" s="7"/>
      <c r="V289" s="7"/>
      <c r="W289" s="7"/>
      <c r="Y289" s="4"/>
      <c r="Z289" s="3"/>
    </row>
    <row r="290" spans="1:47" ht="15.75" customHeight="1">
      <c r="A290" s="23"/>
      <c r="B290" s="7" t="s">
        <v>239</v>
      </c>
      <c r="C290" s="7"/>
      <c r="D290" s="30"/>
      <c r="E290" s="7"/>
      <c r="F290" s="7"/>
      <c r="G290" s="30"/>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31"/>
      <c r="AK290" s="32"/>
      <c r="AL290" s="35"/>
      <c r="AM290" s="32"/>
      <c r="AN290" s="36"/>
      <c r="AO290" s="36"/>
      <c r="AP290" s="35"/>
      <c r="AQ290" s="32"/>
      <c r="AR290" s="36"/>
      <c r="AS290" s="36"/>
      <c r="AU290" s="38"/>
    </row>
    <row r="291" spans="1:33" ht="15.75" customHeight="1">
      <c r="A291" s="23"/>
      <c r="B291" s="7"/>
      <c r="C291" s="125" t="s">
        <v>536</v>
      </c>
      <c r="D291" s="123"/>
      <c r="E291" s="123"/>
      <c r="F291" s="123"/>
      <c r="G291" s="123"/>
      <c r="H291" s="116" t="s">
        <v>537</v>
      </c>
      <c r="I291" s="116"/>
      <c r="J291" s="116" t="s">
        <v>161</v>
      </c>
      <c r="K291" s="124">
        <f>N63</f>
        <v>5</v>
      </c>
      <c r="L291" s="124"/>
      <c r="M291" s="124"/>
      <c r="N291" s="123" t="s">
        <v>80</v>
      </c>
      <c r="O291" s="123"/>
      <c r="P291" s="123"/>
      <c r="Q291" s="7"/>
      <c r="R291" s="7"/>
      <c r="S291" s="7"/>
      <c r="T291" s="7"/>
      <c r="U291" s="7"/>
      <c r="V291" s="7"/>
      <c r="W291" s="7"/>
      <c r="X291" s="7"/>
      <c r="Y291" s="7"/>
      <c r="Z291" s="7"/>
      <c r="AA291" s="7"/>
      <c r="AB291" s="7"/>
      <c r="AC291" s="7"/>
      <c r="AD291" s="7"/>
      <c r="AE291" s="7"/>
      <c r="AF291" s="7"/>
      <c r="AG291" s="7"/>
    </row>
    <row r="292" spans="1:33" ht="15.75" customHeight="1">
      <c r="A292" s="23"/>
      <c r="B292" s="7"/>
      <c r="C292" s="123"/>
      <c r="D292" s="123"/>
      <c r="E292" s="123"/>
      <c r="F292" s="123"/>
      <c r="G292" s="123"/>
      <c r="H292" s="116"/>
      <c r="I292" s="116"/>
      <c r="J292" s="116"/>
      <c r="K292" s="124"/>
      <c r="L292" s="124"/>
      <c r="M292" s="124"/>
      <c r="N292" s="123"/>
      <c r="O292" s="123"/>
      <c r="P292" s="123"/>
      <c r="Q292" s="7"/>
      <c r="R292" s="7"/>
      <c r="S292" s="7"/>
      <c r="T292" s="7"/>
      <c r="U292" s="7"/>
      <c r="V292" s="7"/>
      <c r="W292" s="7"/>
      <c r="X292" s="7"/>
      <c r="Y292" s="7"/>
      <c r="Z292" s="7"/>
      <c r="AA292" s="7"/>
      <c r="AB292" s="7"/>
      <c r="AC292" s="7"/>
      <c r="AD292" s="7"/>
      <c r="AE292" s="7"/>
      <c r="AF292" s="7"/>
      <c r="AG292" s="7"/>
    </row>
    <row r="293" spans="1:48" ht="15.75" customHeight="1">
      <c r="A293" s="23"/>
      <c r="B293" s="7"/>
      <c r="C293" s="7"/>
      <c r="D293" s="30"/>
      <c r="E293" s="7"/>
      <c r="F293" s="7"/>
      <c r="G293" s="30"/>
      <c r="H293" s="7"/>
      <c r="I293" s="7"/>
      <c r="J293" s="7"/>
      <c r="K293" s="7"/>
      <c r="L293" s="126" t="s">
        <v>225</v>
      </c>
      <c r="M293" s="126"/>
      <c r="N293" s="126"/>
      <c r="O293" s="126"/>
      <c r="P293" s="126" t="s">
        <v>226</v>
      </c>
      <c r="Q293" s="126"/>
      <c r="R293" s="126"/>
      <c r="S293" s="7"/>
      <c r="T293" s="126" t="s">
        <v>227</v>
      </c>
      <c r="U293" s="126"/>
      <c r="V293" s="126"/>
      <c r="W293" s="7"/>
      <c r="X293" s="7"/>
      <c r="Y293" s="7"/>
      <c r="Z293" s="7"/>
      <c r="AA293" s="7"/>
      <c r="AB293" s="7"/>
      <c r="AC293" s="7"/>
      <c r="AD293" s="7"/>
      <c r="AE293" s="7"/>
      <c r="AF293" s="7"/>
      <c r="AG293" s="7"/>
      <c r="AJ293" s="31"/>
      <c r="AK293" s="32"/>
      <c r="AL293" s="35"/>
      <c r="AM293" s="32"/>
      <c r="AN293" s="36"/>
      <c r="AO293" s="36"/>
      <c r="AP293" s="35"/>
      <c r="AQ293" s="32"/>
      <c r="AR293" s="36"/>
      <c r="AS293" s="36"/>
      <c r="AU293" s="5"/>
      <c r="AV293" s="37"/>
    </row>
    <row r="294" spans="1:48" ht="15.75" customHeight="1">
      <c r="A294" s="23"/>
      <c r="B294" s="7"/>
      <c r="C294" s="7" t="s">
        <v>228</v>
      </c>
      <c r="D294" s="30"/>
      <c r="E294" s="7"/>
      <c r="F294" s="7"/>
      <c r="G294" s="30"/>
      <c r="H294" s="116" t="s">
        <v>508</v>
      </c>
      <c r="I294" s="116"/>
      <c r="J294" s="4" t="s">
        <v>161</v>
      </c>
      <c r="K294" s="4" t="s">
        <v>243</v>
      </c>
      <c r="L294" s="114">
        <f>N64/1000</f>
        <v>0</v>
      </c>
      <c r="M294" s="114"/>
      <c r="N294" s="114"/>
      <c r="O294" s="4" t="s">
        <v>162</v>
      </c>
      <c r="P294" s="114">
        <f>L51/1000</f>
        <v>0.02</v>
      </c>
      <c r="Q294" s="114"/>
      <c r="R294" s="114"/>
      <c r="S294" s="4" t="s">
        <v>162</v>
      </c>
      <c r="T294" s="114">
        <f>L53/1000</f>
        <v>0.15</v>
      </c>
      <c r="U294" s="114"/>
      <c r="V294" s="114"/>
      <c r="W294" s="4" t="s">
        <v>244</v>
      </c>
      <c r="X294" s="7" t="s">
        <v>512</v>
      </c>
      <c r="Y294" s="7"/>
      <c r="Z294" s="7"/>
      <c r="AA294" s="7"/>
      <c r="AB294" s="7"/>
      <c r="AC294" s="7"/>
      <c r="AD294" s="7"/>
      <c r="AE294" s="7"/>
      <c r="AF294" s="7"/>
      <c r="AG294" s="7"/>
      <c r="AJ294" s="31"/>
      <c r="AK294" s="32"/>
      <c r="AL294" s="35"/>
      <c r="AM294" s="32"/>
      <c r="AN294" s="36"/>
      <c r="AO294" s="36"/>
      <c r="AP294" s="35"/>
      <c r="AQ294" s="32"/>
      <c r="AR294" s="36"/>
      <c r="AS294" s="36"/>
      <c r="AU294" s="5"/>
      <c r="AV294" s="37"/>
    </row>
    <row r="295" spans="1:33" ht="15.75" customHeight="1">
      <c r="A295" s="23"/>
      <c r="B295" s="7"/>
      <c r="C295" s="7"/>
      <c r="D295" s="30"/>
      <c r="E295" s="7"/>
      <c r="F295" s="7"/>
      <c r="G295" s="30"/>
      <c r="H295" s="116"/>
      <c r="I295" s="116"/>
      <c r="J295" s="4" t="s">
        <v>161</v>
      </c>
      <c r="K295" s="114">
        <f>L294+P294+T294</f>
        <v>0.16999999999999998</v>
      </c>
      <c r="L295" s="114"/>
      <c r="M295" s="114"/>
      <c r="N295" s="7" t="s">
        <v>218</v>
      </c>
      <c r="O295" s="7"/>
      <c r="P295" s="7"/>
      <c r="Q295" s="7"/>
      <c r="R295" s="7"/>
      <c r="S295" s="7"/>
      <c r="T295" s="7"/>
      <c r="U295" s="7"/>
      <c r="X295" s="7" t="s">
        <v>230</v>
      </c>
      <c r="Y295" s="93"/>
      <c r="Z295" s="94"/>
      <c r="AA295" s="93"/>
      <c r="AB295" s="95"/>
      <c r="AC295" s="95"/>
      <c r="AD295" s="94"/>
      <c r="AE295" s="93"/>
      <c r="AF295" s="95"/>
      <c r="AG295" s="95"/>
    </row>
    <row r="296" spans="1:45" ht="15.75" customHeight="1">
      <c r="A296" s="23"/>
      <c r="B296" s="7"/>
      <c r="C296" s="7" t="s">
        <v>234</v>
      </c>
      <c r="D296" s="30"/>
      <c r="E296" s="7"/>
      <c r="F296" s="7"/>
      <c r="G296" s="30"/>
      <c r="H296" s="116" t="s">
        <v>540</v>
      </c>
      <c r="I296" s="116"/>
      <c r="J296" s="4" t="s">
        <v>161</v>
      </c>
      <c r="K296" s="122">
        <f>ROUND((1+SIN(N58*PI()/180))/(1-SIN(N58*PI()/180))*EXP(PI()*TAN(N58*PI()/180)),2)</f>
        <v>1</v>
      </c>
      <c r="L296" s="122"/>
      <c r="M296" s="122"/>
      <c r="N296" s="123" t="str">
        <f>N266</f>
        <v>（φ＝0°）</v>
      </c>
      <c r="O296" s="123"/>
      <c r="P296" s="123"/>
      <c r="Q296" s="123"/>
      <c r="R296" s="123"/>
      <c r="S296" s="123"/>
      <c r="T296" s="123"/>
      <c r="U296" s="123"/>
      <c r="V296" s="123"/>
      <c r="W296" s="7" t="s">
        <v>500</v>
      </c>
      <c r="X296" s="7"/>
      <c r="Y296" s="7"/>
      <c r="Z296" s="7"/>
      <c r="AA296" s="7"/>
      <c r="AB296" s="7"/>
      <c r="AC296" s="7"/>
      <c r="AD296" s="7"/>
      <c r="AE296" s="7"/>
      <c r="AF296" s="7"/>
      <c r="AG296" s="7"/>
      <c r="AJ296" s="31"/>
      <c r="AK296" s="32"/>
      <c r="AL296" s="35"/>
      <c r="AM296" s="32"/>
      <c r="AN296" s="36"/>
      <c r="AO296" s="36"/>
      <c r="AP296" s="35"/>
      <c r="AQ296" s="32"/>
      <c r="AR296" s="36"/>
      <c r="AS296" s="36"/>
    </row>
    <row r="297" spans="3:30" ht="15.75" customHeight="1">
      <c r="C297" s="125" t="s">
        <v>564</v>
      </c>
      <c r="D297" s="123"/>
      <c r="E297" s="123"/>
      <c r="F297" s="123"/>
      <c r="G297" s="123"/>
      <c r="H297" s="116" t="s">
        <v>570</v>
      </c>
      <c r="I297" s="116"/>
      <c r="J297" s="4" t="s">
        <v>161</v>
      </c>
      <c r="K297" s="116" t="s">
        <v>569</v>
      </c>
      <c r="L297" s="116"/>
      <c r="M297" s="4" t="s">
        <v>161</v>
      </c>
      <c r="N297" s="185">
        <f>V270</f>
        <v>0.7037345679012346</v>
      </c>
      <c r="O297" s="185"/>
      <c r="P297" s="185"/>
      <c r="Q297" s="92"/>
      <c r="R297" s="7"/>
      <c r="S297" s="7"/>
      <c r="T297" s="12"/>
      <c r="U297" s="4"/>
      <c r="V297" s="12"/>
      <c r="W297" s="12"/>
      <c r="X297" s="4"/>
      <c r="Y297" s="92"/>
      <c r="Z297" s="92"/>
      <c r="AA297" s="4"/>
      <c r="AB297" s="91"/>
      <c r="AC297" s="91"/>
      <c r="AD297" s="91"/>
    </row>
    <row r="298" spans="3:29" ht="15.75" customHeight="1">
      <c r="C298" s="123"/>
      <c r="D298" s="123"/>
      <c r="E298" s="123"/>
      <c r="F298" s="123"/>
      <c r="G298" s="123"/>
      <c r="H298" s="4"/>
      <c r="I298" s="4"/>
      <c r="J298" s="4"/>
      <c r="K298" s="4"/>
      <c r="L298" s="19"/>
      <c r="M298" s="4"/>
      <c r="N298" s="14"/>
      <c r="O298" s="14"/>
      <c r="P298" s="4"/>
      <c r="Q298" s="4"/>
      <c r="R298" s="4"/>
      <c r="S298" s="4"/>
      <c r="T298" s="92"/>
      <c r="U298" s="4"/>
      <c r="V298" s="91"/>
      <c r="W298" s="91"/>
      <c r="X298" s="91"/>
      <c r="Y298" s="7"/>
      <c r="Z298" s="7"/>
      <c r="AA298" s="7"/>
      <c r="AB298" s="7"/>
      <c r="AC298" s="7"/>
    </row>
    <row r="299" spans="1:45" ht="15.75" customHeight="1">
      <c r="A299" s="23"/>
      <c r="B299" s="7"/>
      <c r="C299" s="7"/>
      <c r="D299" s="30"/>
      <c r="E299" s="7"/>
      <c r="F299" s="7"/>
      <c r="G299" s="30"/>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J299" s="31"/>
      <c r="AK299" s="32"/>
      <c r="AL299" s="35"/>
      <c r="AM299" s="32"/>
      <c r="AN299" s="36"/>
      <c r="AO299" s="36"/>
      <c r="AP299" s="35"/>
      <c r="AQ299" s="32"/>
      <c r="AR299" s="36"/>
      <c r="AS299" s="36"/>
    </row>
    <row r="300" spans="1:45" ht="15.75" customHeight="1">
      <c r="A300" s="23"/>
      <c r="B300" s="7" t="s">
        <v>541</v>
      </c>
      <c r="C300" s="7"/>
      <c r="D300" s="30"/>
      <c r="E300" s="7"/>
      <c r="F300" s="7"/>
      <c r="G300" s="30" t="s">
        <v>542</v>
      </c>
      <c r="H300" s="7"/>
      <c r="I300" s="7"/>
      <c r="J300" s="7"/>
      <c r="K300" s="4"/>
      <c r="L300" s="4" t="s">
        <v>161</v>
      </c>
      <c r="M300" s="114">
        <f>N297</f>
        <v>0.7037345679012346</v>
      </c>
      <c r="N300" s="114"/>
      <c r="O300" s="114"/>
      <c r="P300" s="4" t="s">
        <v>172</v>
      </c>
      <c r="Q300" s="124">
        <f>K291</f>
        <v>5</v>
      </c>
      <c r="R300" s="124"/>
      <c r="S300" s="124"/>
      <c r="T300" s="4" t="s">
        <v>172</v>
      </c>
      <c r="U300" s="114">
        <f>K295</f>
        <v>0.16999999999999998</v>
      </c>
      <c r="V300" s="114"/>
      <c r="W300" s="114"/>
      <c r="X300" s="4" t="s">
        <v>172</v>
      </c>
      <c r="Y300" s="117">
        <f>K296</f>
        <v>1</v>
      </c>
      <c r="Z300" s="117"/>
      <c r="AA300" s="117"/>
      <c r="AB300" s="27"/>
      <c r="AC300" s="27"/>
      <c r="AD300" s="27"/>
      <c r="AE300" s="27"/>
      <c r="AF300" s="7"/>
      <c r="AG300" s="7"/>
      <c r="AJ300" s="31"/>
      <c r="AK300" s="32"/>
      <c r="AL300" s="35"/>
      <c r="AM300" s="32"/>
      <c r="AN300" s="36"/>
      <c r="AO300" s="36"/>
      <c r="AP300" s="35"/>
      <c r="AQ300" s="32"/>
      <c r="AR300" s="36"/>
      <c r="AS300" s="36"/>
    </row>
    <row r="301" spans="1:45" ht="15.75" customHeight="1">
      <c r="A301" s="23"/>
      <c r="B301" s="7"/>
      <c r="C301" s="7"/>
      <c r="D301" s="30"/>
      <c r="E301" s="7"/>
      <c r="F301" s="7"/>
      <c r="G301" s="30"/>
      <c r="H301" s="7"/>
      <c r="I301" s="7"/>
      <c r="J301" s="7"/>
      <c r="K301" s="7"/>
      <c r="L301" s="4" t="s">
        <v>161</v>
      </c>
      <c r="M301" s="117">
        <f>ROUND(M300*Q300*U300*Y300,2)</f>
        <v>0.6</v>
      </c>
      <c r="N301" s="117"/>
      <c r="O301" s="117"/>
      <c r="P301" s="7" t="s">
        <v>61</v>
      </c>
      <c r="Q301" s="7"/>
      <c r="R301" s="7"/>
      <c r="S301" s="7"/>
      <c r="T301" s="7"/>
      <c r="U301" s="7"/>
      <c r="V301" s="7"/>
      <c r="W301" s="7"/>
      <c r="X301" s="7"/>
      <c r="Y301" s="7"/>
      <c r="Z301" s="7"/>
      <c r="AA301" s="7"/>
      <c r="AB301" s="7"/>
      <c r="AC301" s="7"/>
      <c r="AD301" s="7"/>
      <c r="AE301" s="7"/>
      <c r="AF301" s="7"/>
      <c r="AG301" s="7"/>
      <c r="AJ301" s="31"/>
      <c r="AK301" s="32"/>
      <c r="AL301" s="35"/>
      <c r="AM301" s="32"/>
      <c r="AN301" s="36"/>
      <c r="AO301" s="36"/>
      <c r="AP301" s="35"/>
      <c r="AQ301" s="32"/>
      <c r="AR301" s="36"/>
      <c r="AS301" s="36"/>
    </row>
    <row r="302" spans="1:45" ht="15.75" customHeight="1">
      <c r="A302" s="23"/>
      <c r="B302" s="7"/>
      <c r="C302" s="7"/>
      <c r="D302" s="30"/>
      <c r="E302" s="7"/>
      <c r="F302" s="7"/>
      <c r="G302" s="30"/>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J302" s="31"/>
      <c r="AK302" s="32"/>
      <c r="AL302" s="35"/>
      <c r="AM302" s="32"/>
      <c r="AN302" s="36"/>
      <c r="AO302" s="36"/>
      <c r="AP302" s="35"/>
      <c r="AQ302" s="32"/>
      <c r="AR302" s="36"/>
      <c r="AS302" s="36"/>
    </row>
    <row r="303" spans="2:24" ht="15.75" customHeight="1">
      <c r="B303" s="3" t="s">
        <v>242</v>
      </c>
      <c r="C303" s="7"/>
      <c r="D303" s="7"/>
      <c r="E303" s="7"/>
      <c r="F303" s="7"/>
      <c r="G303" s="7"/>
      <c r="H303" s="7"/>
      <c r="I303" s="7"/>
      <c r="J303" s="7"/>
      <c r="K303" s="7"/>
      <c r="L303" s="7"/>
      <c r="M303" s="7"/>
      <c r="N303" s="7"/>
      <c r="O303" s="7"/>
      <c r="P303" s="7"/>
      <c r="Q303" s="7"/>
      <c r="R303" s="7"/>
      <c r="S303" s="7"/>
      <c r="T303" s="7"/>
      <c r="U303" s="7"/>
      <c r="V303" s="7"/>
      <c r="W303" s="7"/>
      <c r="X303" s="7"/>
    </row>
    <row r="304" spans="3:24" ht="15.75" customHeight="1">
      <c r="C304" s="116" t="s">
        <v>209</v>
      </c>
      <c r="D304" s="116"/>
      <c r="E304" s="4" t="s">
        <v>161</v>
      </c>
      <c r="F304" s="123" t="s">
        <v>498</v>
      </c>
      <c r="G304" s="123"/>
      <c r="H304" s="123"/>
      <c r="I304" s="123"/>
      <c r="J304" s="123"/>
      <c r="K304" s="123"/>
      <c r="L304" s="123"/>
      <c r="M304" s="123"/>
      <c r="N304" s="123"/>
      <c r="O304" s="123"/>
      <c r="P304" s="123"/>
      <c r="Q304" s="123"/>
      <c r="R304" s="123"/>
      <c r="S304" s="123"/>
      <c r="T304" s="123"/>
      <c r="U304" s="123"/>
      <c r="V304" s="123"/>
      <c r="W304" s="7"/>
      <c r="X304" s="7"/>
    </row>
    <row r="305" spans="5:22" ht="15.75" customHeight="1">
      <c r="E305" s="4" t="s">
        <v>161</v>
      </c>
      <c r="F305" s="114">
        <f>Y261</f>
        <v>1.148</v>
      </c>
      <c r="G305" s="114"/>
      <c r="H305" s="114"/>
      <c r="I305" s="4" t="s">
        <v>172</v>
      </c>
      <c r="J305" s="4" t="s">
        <v>243</v>
      </c>
      <c r="K305" s="117">
        <f>L273</f>
        <v>35.89</v>
      </c>
      <c r="L305" s="117"/>
      <c r="M305" s="117"/>
      <c r="N305" s="4" t="s">
        <v>162</v>
      </c>
      <c r="O305" s="117">
        <f>M288</f>
        <v>0</v>
      </c>
      <c r="P305" s="117"/>
      <c r="Q305" s="117"/>
      <c r="R305" s="4" t="s">
        <v>162</v>
      </c>
      <c r="S305" s="117">
        <f>M301</f>
        <v>0.6</v>
      </c>
      <c r="T305" s="117"/>
      <c r="U305" s="117"/>
      <c r="V305" s="4" t="s">
        <v>244</v>
      </c>
    </row>
    <row r="306" spans="5:9" ht="15.75" customHeight="1">
      <c r="E306" s="4" t="s">
        <v>161</v>
      </c>
      <c r="F306" s="117">
        <f>ROUND(F305*(K305+O305+S305),2)</f>
        <v>41.89</v>
      </c>
      <c r="G306" s="117"/>
      <c r="H306" s="117"/>
      <c r="I306" s="3" t="s">
        <v>164</v>
      </c>
    </row>
    <row r="308" ht="15.75" customHeight="1">
      <c r="B308" s="3" t="s">
        <v>245</v>
      </c>
    </row>
    <row r="309" spans="3:18" ht="15.75" customHeight="1">
      <c r="C309" s="116" t="s">
        <v>208</v>
      </c>
      <c r="D309" s="116"/>
      <c r="E309" s="116" t="s">
        <v>161</v>
      </c>
      <c r="F309" s="118" t="s">
        <v>209</v>
      </c>
      <c r="G309" s="118"/>
      <c r="H309" s="118"/>
      <c r="I309" s="116" t="s">
        <v>161</v>
      </c>
      <c r="J309" s="119">
        <f>F306</f>
        <v>41.89</v>
      </c>
      <c r="K309" s="119"/>
      <c r="L309" s="119"/>
      <c r="M309" s="116" t="s">
        <v>161</v>
      </c>
      <c r="N309" s="117">
        <f>ROUND(J309/J310,2)</f>
        <v>13.96</v>
      </c>
      <c r="O309" s="117"/>
      <c r="P309" s="117"/>
      <c r="Q309" s="120" t="s">
        <v>164</v>
      </c>
      <c r="R309" s="120"/>
    </row>
    <row r="310" spans="3:18" ht="15.75" customHeight="1">
      <c r="C310" s="116"/>
      <c r="D310" s="116"/>
      <c r="E310" s="116"/>
      <c r="F310" s="121" t="s">
        <v>550</v>
      </c>
      <c r="G310" s="121"/>
      <c r="H310" s="121"/>
      <c r="I310" s="116"/>
      <c r="J310" s="194">
        <v>3</v>
      </c>
      <c r="K310" s="194"/>
      <c r="L310" s="194"/>
      <c r="M310" s="116"/>
      <c r="N310" s="117"/>
      <c r="O310" s="117"/>
      <c r="P310" s="117"/>
      <c r="Q310" s="120"/>
      <c r="R310" s="120"/>
    </row>
    <row r="311" spans="4:16" ht="15.75" customHeight="1">
      <c r="D311" s="4"/>
      <c r="E311" s="4"/>
      <c r="F311" s="4"/>
      <c r="G311" s="4"/>
      <c r="H311" s="4"/>
      <c r="I311" s="4"/>
      <c r="J311" s="15"/>
      <c r="K311" s="15"/>
      <c r="L311" s="15"/>
      <c r="M311" s="4"/>
      <c r="N311" s="16"/>
      <c r="O311" s="16"/>
      <c r="P311" s="16"/>
    </row>
    <row r="312" spans="3:18" ht="15.75" customHeight="1">
      <c r="C312" s="116" t="s">
        <v>196</v>
      </c>
      <c r="D312" s="116"/>
      <c r="E312" s="4" t="s">
        <v>161</v>
      </c>
      <c r="F312" s="117">
        <f>J180</f>
        <v>25.14</v>
      </c>
      <c r="G312" s="117"/>
      <c r="H312" s="117"/>
      <c r="I312" s="3" t="s">
        <v>164</v>
      </c>
      <c r="J312" s="15"/>
      <c r="K312" s="15" t="str">
        <f>IF(F312&gt;O312,"&gt;","≦""")</f>
        <v>&gt;</v>
      </c>
      <c r="L312" s="116" t="s">
        <v>208</v>
      </c>
      <c r="M312" s="116"/>
      <c r="N312" s="4" t="s">
        <v>161</v>
      </c>
      <c r="O312" s="117">
        <f>N309</f>
        <v>13.96</v>
      </c>
      <c r="P312" s="117"/>
      <c r="Q312" s="117"/>
      <c r="R312" s="3" t="s">
        <v>164</v>
      </c>
    </row>
    <row r="314" spans="2:7" ht="15.75" customHeight="1">
      <c r="B314" s="116" t="s">
        <v>196</v>
      </c>
      <c r="C314" s="116"/>
      <c r="D314" s="14" t="str">
        <f>K312</f>
        <v>&gt;</v>
      </c>
      <c r="E314" s="116" t="s">
        <v>208</v>
      </c>
      <c r="F314" s="116"/>
      <c r="G314" s="5" t="str">
        <f>IF(F312&gt;O312,"であるため、丸太杭－底板系基礎の計算を行う。","であるため、丸太杭は不要である。。""")</f>
        <v>であるため、丸太杭－底板系基礎の計算を行う。</v>
      </c>
    </row>
    <row r="315" spans="5:6" ht="15.75" customHeight="1">
      <c r="E315" s="4"/>
      <c r="F315" s="4"/>
    </row>
    <row r="316" ht="15.75" customHeight="1">
      <c r="A316" s="2" t="s">
        <v>18</v>
      </c>
    </row>
    <row r="317" spans="1:33" ht="15.75" customHeight="1">
      <c r="A317" s="23"/>
      <c r="B317" s="7"/>
      <c r="C317" s="7"/>
      <c r="D317" s="30"/>
      <c r="E317" s="7"/>
      <c r="F317" s="7"/>
      <c r="G317" s="30"/>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row>
    <row r="318" spans="1:33" ht="15.75" customHeight="1">
      <c r="A318" s="23"/>
      <c r="B318" s="123" t="s">
        <v>250</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row>
    <row r="319" spans="1:33" ht="15.75" customHeight="1">
      <c r="A319" s="23"/>
      <c r="B319" s="7" t="s">
        <v>251</v>
      </c>
      <c r="C319" s="7"/>
      <c r="D319" s="7"/>
      <c r="E319" s="123">
        <f>L74</f>
        <v>3</v>
      </c>
      <c r="F319" s="123"/>
      <c r="G319" s="7" t="s">
        <v>252</v>
      </c>
      <c r="H319" s="7"/>
      <c r="I319" s="7"/>
      <c r="J319" s="7"/>
      <c r="K319" s="123">
        <f>L70</f>
        <v>140</v>
      </c>
      <c r="L319" s="123"/>
      <c r="M319" s="7" t="s">
        <v>253</v>
      </c>
      <c r="N319" s="7"/>
      <c r="O319" s="7"/>
      <c r="P319" s="7"/>
      <c r="Q319" s="124">
        <f>L72</f>
        <v>2.9</v>
      </c>
      <c r="R319" s="124"/>
      <c r="S319" s="7" t="s">
        <v>254</v>
      </c>
      <c r="T319" s="7"/>
      <c r="U319" s="7"/>
      <c r="V319" s="7"/>
      <c r="W319" s="7"/>
      <c r="X319" s="7"/>
      <c r="Y319" s="7"/>
      <c r="Z319" s="7"/>
      <c r="AA319" s="7"/>
      <c r="AB319" s="7"/>
      <c r="AC319" s="7"/>
      <c r="AD319" s="7"/>
      <c r="AE319" s="7"/>
      <c r="AF319" s="7"/>
      <c r="AG319" s="7"/>
    </row>
    <row r="320" spans="1:33" ht="15.75" customHeight="1">
      <c r="A320" s="23"/>
      <c r="B320" s="188" t="s">
        <v>255</v>
      </c>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row>
    <row r="321" spans="1:33" ht="15.75" customHeight="1">
      <c r="A321" s="23"/>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row>
    <row r="322" spans="1:33" ht="15.75" customHeight="1">
      <c r="A322" s="23"/>
      <c r="B322" s="7"/>
      <c r="C322" s="7"/>
      <c r="D322" s="30"/>
      <c r="E322" s="7"/>
      <c r="F322" s="7"/>
      <c r="G322" s="30"/>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row>
    <row r="323" ht="15.75" customHeight="1">
      <c r="A323" s="2" t="s">
        <v>19</v>
      </c>
    </row>
    <row r="325" spans="2:22" ht="15.75" customHeight="1">
      <c r="B325" s="7" t="s">
        <v>256</v>
      </c>
      <c r="C325" s="7"/>
      <c r="D325" s="30"/>
      <c r="E325" s="7"/>
      <c r="F325" s="7"/>
      <c r="G325" s="30"/>
      <c r="H325" s="7"/>
      <c r="I325" s="7"/>
      <c r="J325" s="7"/>
      <c r="K325" s="7"/>
      <c r="L325" s="7"/>
      <c r="M325" s="7"/>
      <c r="N325" s="7"/>
      <c r="O325" s="7"/>
      <c r="P325" s="7"/>
      <c r="Q325" s="7"/>
      <c r="R325" s="7"/>
      <c r="S325" s="7"/>
      <c r="T325" s="7"/>
      <c r="U325" s="7"/>
      <c r="V325" s="7"/>
    </row>
    <row r="326" spans="2:22" ht="15.75" customHeight="1">
      <c r="B326" s="7"/>
      <c r="C326" s="116" t="s">
        <v>257</v>
      </c>
      <c r="D326" s="116"/>
      <c r="E326" s="116" t="s">
        <v>180</v>
      </c>
      <c r="F326" s="118" t="s">
        <v>258</v>
      </c>
      <c r="G326" s="118"/>
      <c r="H326" s="118"/>
      <c r="I326" s="4"/>
      <c r="J326" s="116" t="s">
        <v>259</v>
      </c>
      <c r="K326" s="116"/>
      <c r="L326" s="116"/>
      <c r="M326" s="116"/>
      <c r="N326" s="123" t="s">
        <v>260</v>
      </c>
      <c r="O326" s="123"/>
      <c r="P326" s="123"/>
      <c r="Q326" s="123"/>
      <c r="R326" s="123"/>
      <c r="S326" s="123"/>
      <c r="T326" s="123"/>
      <c r="U326" s="7"/>
      <c r="V326" s="7"/>
    </row>
    <row r="327" spans="2:22" ht="15.75" customHeight="1">
      <c r="B327" s="7"/>
      <c r="C327" s="116"/>
      <c r="D327" s="116"/>
      <c r="E327" s="116"/>
      <c r="F327" s="121" t="s">
        <v>261</v>
      </c>
      <c r="G327" s="121"/>
      <c r="H327" s="121"/>
      <c r="I327" s="4"/>
      <c r="J327" s="116"/>
      <c r="K327" s="116"/>
      <c r="L327" s="116"/>
      <c r="M327" s="116"/>
      <c r="N327" s="123"/>
      <c r="O327" s="123"/>
      <c r="P327" s="123"/>
      <c r="Q327" s="123"/>
      <c r="R327" s="123"/>
      <c r="S327" s="123"/>
      <c r="T327" s="123"/>
      <c r="U327" s="7"/>
      <c r="V327" s="7"/>
    </row>
    <row r="329" spans="2:5" ht="15.75" customHeight="1">
      <c r="B329" s="7" t="s">
        <v>262</v>
      </c>
      <c r="C329" s="7"/>
      <c r="D329" s="30"/>
      <c r="E329" s="7"/>
    </row>
    <row r="330" spans="2:8" ht="15.75" customHeight="1">
      <c r="B330" s="7"/>
      <c r="D330" s="4"/>
      <c r="E330" s="4"/>
      <c r="F330" s="189" t="s">
        <v>263</v>
      </c>
      <c r="G330" s="189"/>
      <c r="H330" s="189"/>
    </row>
    <row r="331" spans="2:14" ht="15.75" customHeight="1">
      <c r="B331" s="7"/>
      <c r="C331" s="116" t="s">
        <v>258</v>
      </c>
      <c r="D331" s="116"/>
      <c r="E331" s="4" t="s">
        <v>180</v>
      </c>
      <c r="F331" s="9" t="s">
        <v>264</v>
      </c>
      <c r="G331" s="14" t="s">
        <v>265</v>
      </c>
      <c r="H331" s="3" t="s">
        <v>266</v>
      </c>
      <c r="N331" s="3" t="s">
        <v>267</v>
      </c>
    </row>
    <row r="332" spans="6:8" ht="15.75" customHeight="1">
      <c r="F332" s="190" t="s">
        <v>268</v>
      </c>
      <c r="G332" s="190"/>
      <c r="H332" s="190"/>
    </row>
    <row r="334" spans="3:25" ht="15.75" customHeight="1">
      <c r="C334" s="3" t="s">
        <v>269</v>
      </c>
      <c r="D334" s="3"/>
      <c r="G334" s="3"/>
      <c r="H334" s="116" t="s">
        <v>270</v>
      </c>
      <c r="I334" s="116"/>
      <c r="J334" s="4" t="s">
        <v>180</v>
      </c>
      <c r="K334" s="3" t="s">
        <v>271</v>
      </c>
      <c r="N334" s="4" t="s">
        <v>180</v>
      </c>
      <c r="O334" s="116" t="s">
        <v>272</v>
      </c>
      <c r="P334" s="116"/>
      <c r="Q334" s="4" t="s">
        <v>179</v>
      </c>
      <c r="R334" s="191">
        <f>L70/1000</f>
        <v>0.14</v>
      </c>
      <c r="S334" s="191"/>
      <c r="T334" s="191"/>
      <c r="U334" s="4" t="s">
        <v>180</v>
      </c>
      <c r="V334" s="114">
        <f>ROUND(PI()*R334,3)</f>
        <v>0.44</v>
      </c>
      <c r="W334" s="114"/>
      <c r="X334" s="114"/>
      <c r="Y334" s="3" t="s">
        <v>195</v>
      </c>
    </row>
    <row r="335" spans="3:12" ht="15.75" customHeight="1">
      <c r="C335" s="7" t="s">
        <v>273</v>
      </c>
      <c r="H335" s="116" t="s">
        <v>274</v>
      </c>
      <c r="I335" s="116"/>
      <c r="J335" s="4" t="s">
        <v>180</v>
      </c>
      <c r="K335" s="116" t="s">
        <v>232</v>
      </c>
      <c r="L335" s="116"/>
    </row>
    <row r="336" spans="1:33" ht="15.75" customHeight="1">
      <c r="A336" s="23"/>
      <c r="B336" s="7"/>
      <c r="C336" s="7"/>
      <c r="D336" s="30"/>
      <c r="E336" s="7"/>
      <c r="F336" s="7"/>
      <c r="G336" s="30"/>
      <c r="H336" s="7"/>
      <c r="I336" s="7"/>
      <c r="J336" s="4" t="s">
        <v>180</v>
      </c>
      <c r="K336" s="117">
        <f>N57</f>
        <v>10</v>
      </c>
      <c r="L336" s="117"/>
      <c r="M336" s="117"/>
      <c r="N336" s="7" t="s">
        <v>233</v>
      </c>
      <c r="O336" s="7"/>
      <c r="P336" s="7"/>
      <c r="Q336" s="7"/>
      <c r="R336" s="7"/>
      <c r="S336" s="7"/>
      <c r="T336" s="7"/>
      <c r="U336" s="7"/>
      <c r="V336" s="7"/>
      <c r="W336" s="7"/>
      <c r="X336" s="7"/>
      <c r="Y336" s="7"/>
      <c r="Z336" s="7"/>
      <c r="AA336" s="7"/>
      <c r="AB336" s="7"/>
      <c r="AC336" s="7"/>
      <c r="AD336" s="7"/>
      <c r="AE336" s="7"/>
      <c r="AF336" s="7"/>
      <c r="AG336" s="7"/>
    </row>
    <row r="337" spans="1:33" ht="15.75" customHeight="1">
      <c r="A337" s="23"/>
      <c r="B337" s="7"/>
      <c r="C337" s="7" t="s">
        <v>275</v>
      </c>
      <c r="D337" s="30"/>
      <c r="E337" s="7"/>
      <c r="F337" s="7"/>
      <c r="G337" s="30"/>
      <c r="H337" s="116" t="s">
        <v>3</v>
      </c>
      <c r="I337" s="116"/>
      <c r="J337" s="4" t="s">
        <v>180</v>
      </c>
      <c r="K337" s="116" t="s">
        <v>276</v>
      </c>
      <c r="L337" s="116"/>
      <c r="M337" s="116"/>
      <c r="N337" s="4" t="s">
        <v>185</v>
      </c>
      <c r="O337" s="116" t="s">
        <v>277</v>
      </c>
      <c r="P337" s="116"/>
      <c r="Q337" s="116"/>
      <c r="R337" s="7" t="s">
        <v>278</v>
      </c>
      <c r="S337" s="7"/>
      <c r="T337" s="7"/>
      <c r="U337" s="7"/>
      <c r="V337" s="7"/>
      <c r="W337" s="7"/>
      <c r="X337" s="7"/>
      <c r="Y337" s="7"/>
      <c r="Z337" s="7"/>
      <c r="AA337" s="7"/>
      <c r="AB337" s="7"/>
      <c r="AC337" s="7"/>
      <c r="AD337" s="7"/>
      <c r="AE337" s="7"/>
      <c r="AF337" s="7"/>
      <c r="AG337" s="7"/>
    </row>
    <row r="338" spans="10:17" ht="15.75" customHeight="1">
      <c r="J338" s="4" t="s">
        <v>180</v>
      </c>
      <c r="K338" s="185">
        <f>L72</f>
        <v>2.9</v>
      </c>
      <c r="L338" s="185"/>
      <c r="M338" s="185"/>
      <c r="N338" s="4" t="s">
        <v>185</v>
      </c>
      <c r="O338" s="117">
        <f>L73/1000</f>
        <v>0.05</v>
      </c>
      <c r="P338" s="117"/>
      <c r="Q338" s="117"/>
    </row>
    <row r="339" spans="3:14" ht="15.75" customHeight="1">
      <c r="C339" s="7"/>
      <c r="H339" s="4"/>
      <c r="I339" s="4"/>
      <c r="J339" s="4" t="s">
        <v>180</v>
      </c>
      <c r="K339" s="185">
        <f>K338-O338</f>
        <v>2.85</v>
      </c>
      <c r="L339" s="185"/>
      <c r="M339" s="185"/>
      <c r="N339" s="3" t="s">
        <v>195</v>
      </c>
    </row>
    <row r="340" spans="3:26" ht="15.75" customHeight="1">
      <c r="C340" s="7" t="s">
        <v>279</v>
      </c>
      <c r="H340" s="116" t="s">
        <v>263</v>
      </c>
      <c r="I340" s="116"/>
      <c r="J340" s="4" t="s">
        <v>180</v>
      </c>
      <c r="K340" s="192">
        <v>1</v>
      </c>
      <c r="L340" s="192"/>
      <c r="M340" s="192"/>
      <c r="N340" s="3" t="s">
        <v>280</v>
      </c>
      <c r="X340" s="4"/>
      <c r="Z340" s="3"/>
    </row>
    <row r="341" spans="3:10" ht="15.75" customHeight="1">
      <c r="C341" s="7"/>
      <c r="D341" s="30"/>
      <c r="E341" s="7"/>
      <c r="F341" s="7"/>
      <c r="G341" s="30"/>
      <c r="H341" s="7"/>
      <c r="I341" s="7"/>
      <c r="J341" s="7"/>
    </row>
    <row r="342" spans="2:5" ht="15.75" customHeight="1">
      <c r="B342" s="7" t="s">
        <v>281</v>
      </c>
      <c r="C342" s="7"/>
      <c r="D342" s="30"/>
      <c r="E342" s="7"/>
    </row>
    <row r="343" spans="2:8" ht="15.75" customHeight="1">
      <c r="B343" s="7"/>
      <c r="D343" s="4"/>
      <c r="E343" s="4"/>
      <c r="F343" s="189" t="s">
        <v>263</v>
      </c>
      <c r="G343" s="189"/>
      <c r="H343" s="189"/>
    </row>
    <row r="344" spans="2:29" ht="15.75" customHeight="1">
      <c r="B344" s="7"/>
      <c r="C344" s="116" t="s">
        <v>258</v>
      </c>
      <c r="D344" s="116"/>
      <c r="E344" s="4" t="s">
        <v>180</v>
      </c>
      <c r="F344" s="9" t="s">
        <v>264</v>
      </c>
      <c r="G344" s="14" t="s">
        <v>265</v>
      </c>
      <c r="H344" s="3" t="s">
        <v>266</v>
      </c>
      <c r="K344" s="4" t="s">
        <v>180</v>
      </c>
      <c r="L344" s="114">
        <f>V334</f>
        <v>0.44</v>
      </c>
      <c r="M344" s="114"/>
      <c r="N344" s="114"/>
      <c r="O344" s="4" t="s">
        <v>179</v>
      </c>
      <c r="P344" s="4" t="s">
        <v>243</v>
      </c>
      <c r="Q344" s="117">
        <f>K336</f>
        <v>10</v>
      </c>
      <c r="R344" s="117"/>
      <c r="S344" s="117"/>
      <c r="T344" s="4" t="s">
        <v>179</v>
      </c>
      <c r="U344" s="114">
        <f>K339</f>
        <v>2.85</v>
      </c>
      <c r="V344" s="114"/>
      <c r="W344" s="114"/>
      <c r="X344" s="4" t="s">
        <v>244</v>
      </c>
      <c r="Y344" s="4" t="s">
        <v>180</v>
      </c>
      <c r="Z344" s="117">
        <f>ROUND(L344*(Q344*U344),2)</f>
        <v>12.54</v>
      </c>
      <c r="AA344" s="117"/>
      <c r="AB344" s="117"/>
      <c r="AC344" s="3" t="s">
        <v>181</v>
      </c>
    </row>
    <row r="345" spans="6:8" ht="15.75" customHeight="1">
      <c r="F345" s="190" t="s">
        <v>268</v>
      </c>
      <c r="G345" s="190"/>
      <c r="H345" s="190"/>
    </row>
    <row r="346" spans="3:10" ht="15.75" customHeight="1">
      <c r="C346" s="7"/>
      <c r="D346" s="30"/>
      <c r="E346" s="7"/>
      <c r="F346" s="7"/>
      <c r="G346" s="30"/>
      <c r="H346" s="7"/>
      <c r="I346" s="7"/>
      <c r="J346" s="7"/>
    </row>
    <row r="347" spans="2:10" ht="15.75" customHeight="1">
      <c r="B347" s="7" t="s">
        <v>282</v>
      </c>
      <c r="C347" s="7"/>
      <c r="D347" s="30"/>
      <c r="E347" s="7"/>
      <c r="F347" s="7"/>
      <c r="G347" s="30"/>
      <c r="H347" s="7"/>
      <c r="I347" s="7"/>
      <c r="J347" s="7"/>
    </row>
    <row r="348" spans="3:18" ht="15.75" customHeight="1">
      <c r="C348" s="116" t="s">
        <v>257</v>
      </c>
      <c r="D348" s="116"/>
      <c r="E348" s="116" t="s">
        <v>180</v>
      </c>
      <c r="F348" s="118" t="s">
        <v>258</v>
      </c>
      <c r="G348" s="118"/>
      <c r="H348" s="118"/>
      <c r="I348" s="116" t="s">
        <v>180</v>
      </c>
      <c r="J348" s="119">
        <f>Z344</f>
        <v>12.54</v>
      </c>
      <c r="K348" s="119"/>
      <c r="L348" s="119"/>
      <c r="M348" s="116" t="s">
        <v>180</v>
      </c>
      <c r="N348" s="117">
        <f>ROUND(J348/J349,2)</f>
        <v>8.36</v>
      </c>
      <c r="O348" s="117"/>
      <c r="P348" s="117"/>
      <c r="Q348" s="120" t="s">
        <v>181</v>
      </c>
      <c r="R348" s="120"/>
    </row>
    <row r="349" spans="3:18" ht="15.75" customHeight="1">
      <c r="C349" s="116"/>
      <c r="D349" s="116"/>
      <c r="E349" s="116"/>
      <c r="F349" s="121" t="s">
        <v>261</v>
      </c>
      <c r="G349" s="121"/>
      <c r="H349" s="121"/>
      <c r="I349" s="116"/>
      <c r="J349" s="193">
        <v>1.5</v>
      </c>
      <c r="K349" s="193"/>
      <c r="L349" s="193"/>
      <c r="M349" s="116"/>
      <c r="N349" s="117"/>
      <c r="O349" s="117"/>
      <c r="P349" s="117"/>
      <c r="Q349" s="120"/>
      <c r="R349" s="120"/>
    </row>
    <row r="350" spans="3:10" ht="15.75" customHeight="1">
      <c r="C350" s="7"/>
      <c r="D350" s="30"/>
      <c r="E350" s="7"/>
      <c r="F350" s="7"/>
      <c r="G350" s="30"/>
      <c r="H350" s="7"/>
      <c r="I350" s="7"/>
      <c r="J350" s="7"/>
    </row>
    <row r="351" spans="1:10" ht="15.75" customHeight="1">
      <c r="A351" s="2" t="s">
        <v>20</v>
      </c>
      <c r="C351" s="7"/>
      <c r="D351" s="30"/>
      <c r="E351" s="7"/>
      <c r="F351" s="7"/>
      <c r="G351" s="30"/>
      <c r="H351" s="7"/>
      <c r="I351" s="7"/>
      <c r="J351" s="7"/>
    </row>
    <row r="352" spans="1:33" ht="15.75" customHeight="1">
      <c r="A352" s="23"/>
      <c r="B352" s="7"/>
      <c r="D352" s="4"/>
      <c r="E352" s="4"/>
      <c r="F352" s="9"/>
      <c r="G352" s="9"/>
      <c r="H352" s="9"/>
      <c r="I352" s="9"/>
      <c r="J352" s="9"/>
      <c r="K352" s="9"/>
      <c r="L352" s="9"/>
      <c r="M352" s="9"/>
      <c r="N352" s="9"/>
      <c r="O352" s="9"/>
      <c r="P352" s="9"/>
      <c r="Q352" s="4"/>
      <c r="R352" s="7"/>
      <c r="S352" s="7"/>
      <c r="T352" s="7"/>
      <c r="U352" s="7"/>
      <c r="V352" s="7"/>
      <c r="W352" s="7"/>
      <c r="X352" s="7"/>
      <c r="Y352" s="7"/>
      <c r="Z352" s="7"/>
      <c r="AA352" s="7"/>
      <c r="AB352" s="7"/>
      <c r="AC352" s="7"/>
      <c r="AD352" s="7"/>
      <c r="AE352" s="7"/>
      <c r="AF352" s="7"/>
      <c r="AG352" s="7"/>
    </row>
    <row r="353" spans="1:33" ht="15.75" customHeight="1">
      <c r="A353" s="23" t="s">
        <v>283</v>
      </c>
      <c r="B353" s="7"/>
      <c r="D353" s="4"/>
      <c r="E353" s="4"/>
      <c r="F353" s="9"/>
      <c r="G353" s="9"/>
      <c r="H353" s="9"/>
      <c r="I353" s="9"/>
      <c r="J353" s="9"/>
      <c r="K353" s="9"/>
      <c r="L353" s="9"/>
      <c r="M353" s="9"/>
      <c r="N353" s="9"/>
      <c r="O353" s="9"/>
      <c r="P353" s="9"/>
      <c r="Q353" s="4"/>
      <c r="R353" s="7"/>
      <c r="S353" s="7"/>
      <c r="T353" s="7"/>
      <c r="U353" s="7"/>
      <c r="V353" s="7"/>
      <c r="W353" s="7"/>
      <c r="X353" s="7"/>
      <c r="Y353" s="7"/>
      <c r="Z353" s="7"/>
      <c r="AA353" s="7"/>
      <c r="AB353" s="7"/>
      <c r="AC353" s="7"/>
      <c r="AD353" s="7"/>
      <c r="AE353" s="7"/>
      <c r="AF353" s="7"/>
      <c r="AG353" s="7"/>
    </row>
    <row r="354" spans="1:33" ht="15.75" customHeight="1">
      <c r="A354" s="23"/>
      <c r="B354" s="7"/>
      <c r="D354" s="4"/>
      <c r="E354" s="4"/>
      <c r="F354" s="9"/>
      <c r="G354" s="9"/>
      <c r="H354" s="9"/>
      <c r="I354" s="9"/>
      <c r="J354" s="9"/>
      <c r="K354" s="9"/>
      <c r="L354" s="9"/>
      <c r="M354" s="9"/>
      <c r="N354" s="9"/>
      <c r="O354" s="9"/>
      <c r="P354" s="9"/>
      <c r="Q354" s="4"/>
      <c r="R354" s="7"/>
      <c r="S354" s="7"/>
      <c r="T354" s="7"/>
      <c r="U354" s="7"/>
      <c r="V354" s="7"/>
      <c r="W354" s="7"/>
      <c r="X354" s="7"/>
      <c r="Y354" s="7"/>
      <c r="Z354" s="7"/>
      <c r="AA354" s="7"/>
      <c r="AB354" s="7"/>
      <c r="AC354" s="7"/>
      <c r="AD354" s="7"/>
      <c r="AE354" s="7"/>
      <c r="AF354" s="7"/>
      <c r="AG354" s="7"/>
    </row>
    <row r="355" spans="2:10" ht="15.75" customHeight="1">
      <c r="B355" s="7" t="s">
        <v>284</v>
      </c>
      <c r="C355" s="7"/>
      <c r="D355" s="30"/>
      <c r="E355" s="7"/>
      <c r="F355" s="7"/>
      <c r="G355" s="30"/>
      <c r="H355" s="7"/>
      <c r="I355" s="7"/>
      <c r="J355" s="7"/>
    </row>
    <row r="356" spans="3:10" ht="15.75" customHeight="1">
      <c r="C356" s="7"/>
      <c r="D356" s="30"/>
      <c r="E356" s="7"/>
      <c r="F356" s="7"/>
      <c r="G356" s="30"/>
      <c r="H356" s="7"/>
      <c r="I356" s="7"/>
      <c r="J356" s="7"/>
    </row>
    <row r="357" spans="3:25" ht="15.75" customHeight="1">
      <c r="C357" s="116" t="s">
        <v>285</v>
      </c>
      <c r="D357" s="116"/>
      <c r="E357" s="4" t="s">
        <v>180</v>
      </c>
      <c r="F357" s="7" t="s">
        <v>286</v>
      </c>
      <c r="G357" s="30"/>
      <c r="H357" s="7"/>
      <c r="I357" s="7"/>
      <c r="J357" s="4" t="s">
        <v>180</v>
      </c>
      <c r="K357" s="155">
        <f>J160</f>
        <v>32.64</v>
      </c>
      <c r="L357" s="155"/>
      <c r="M357" s="155"/>
      <c r="N357" s="4" t="s">
        <v>185</v>
      </c>
      <c r="O357" s="155">
        <f>N251</f>
        <v>18.19</v>
      </c>
      <c r="P357" s="155"/>
      <c r="Q357" s="155"/>
      <c r="R357" s="4" t="s">
        <v>180</v>
      </c>
      <c r="S357" s="155">
        <f>IF(K357-O357&lt;0,0,ROUND(K357-O357,2))</f>
        <v>14.45</v>
      </c>
      <c r="T357" s="155"/>
      <c r="U357" s="155"/>
      <c r="V357" s="3" t="s">
        <v>181</v>
      </c>
      <c r="Y357" s="3" t="s">
        <v>287</v>
      </c>
    </row>
    <row r="358" spans="3:10" ht="15.75" customHeight="1">
      <c r="C358" s="7"/>
      <c r="D358" s="30"/>
      <c r="E358" s="7"/>
      <c r="F358" s="7"/>
      <c r="G358" s="30"/>
      <c r="H358" s="7"/>
      <c r="I358" s="7"/>
      <c r="J358" s="7"/>
    </row>
    <row r="359" spans="2:10" ht="15.75" customHeight="1">
      <c r="B359" s="7" t="s">
        <v>288</v>
      </c>
      <c r="C359" s="7"/>
      <c r="D359" s="30"/>
      <c r="E359" s="7"/>
      <c r="F359" s="7"/>
      <c r="G359" s="30"/>
      <c r="H359" s="7"/>
      <c r="I359" s="7"/>
      <c r="J359" s="7"/>
    </row>
    <row r="360" spans="3:30" ht="15.75" customHeight="1">
      <c r="C360" s="116" t="s">
        <v>289</v>
      </c>
      <c r="D360" s="116"/>
      <c r="E360" s="116" t="s">
        <v>180</v>
      </c>
      <c r="F360" s="118" t="s">
        <v>285</v>
      </c>
      <c r="G360" s="118"/>
      <c r="H360" s="118"/>
      <c r="I360" s="116" t="s">
        <v>229</v>
      </c>
      <c r="J360" s="119" t="s">
        <v>290</v>
      </c>
      <c r="K360" s="119"/>
      <c r="L360" s="119"/>
      <c r="M360" s="119"/>
      <c r="N360" s="123" t="s">
        <v>291</v>
      </c>
      <c r="O360" s="123"/>
      <c r="P360" s="16"/>
      <c r="Q360" s="16"/>
      <c r="Y360" s="123" t="s">
        <v>292</v>
      </c>
      <c r="Z360" s="123"/>
      <c r="AA360" s="123"/>
      <c r="AB360" s="123"/>
      <c r="AC360" s="123"/>
      <c r="AD360" s="123"/>
    </row>
    <row r="361" spans="3:30" ht="15.75" customHeight="1">
      <c r="C361" s="116"/>
      <c r="D361" s="116"/>
      <c r="E361" s="116"/>
      <c r="F361" s="121" t="s">
        <v>293</v>
      </c>
      <c r="G361" s="121"/>
      <c r="H361" s="121"/>
      <c r="I361" s="116"/>
      <c r="J361" s="194" t="s">
        <v>294</v>
      </c>
      <c r="K361" s="194"/>
      <c r="L361" s="194"/>
      <c r="M361" s="194"/>
      <c r="N361" s="123"/>
      <c r="O361" s="123"/>
      <c r="P361" s="16"/>
      <c r="Q361" s="16"/>
      <c r="Y361" s="123"/>
      <c r="Z361" s="123"/>
      <c r="AA361" s="123"/>
      <c r="AB361" s="123"/>
      <c r="AC361" s="123"/>
      <c r="AD361" s="123"/>
    </row>
    <row r="362" spans="1:33" ht="15.75" customHeight="1">
      <c r="A362" s="23"/>
      <c r="B362" s="7"/>
      <c r="C362" s="7"/>
      <c r="D362" s="7"/>
      <c r="E362" s="7"/>
      <c r="F362" s="7"/>
      <c r="G362" s="7"/>
      <c r="H362" s="7"/>
      <c r="I362" s="7"/>
      <c r="J362" s="17"/>
      <c r="K362" s="17"/>
      <c r="L362" s="17"/>
      <c r="M362" s="17"/>
      <c r="N362" s="7"/>
      <c r="O362" s="7"/>
      <c r="P362" s="16"/>
      <c r="Q362" s="16"/>
      <c r="R362" s="7"/>
      <c r="S362" s="7"/>
      <c r="T362" s="7"/>
      <c r="U362" s="7"/>
      <c r="V362" s="7"/>
      <c r="W362" s="7"/>
      <c r="X362" s="7"/>
      <c r="Y362" s="7"/>
      <c r="Z362" s="7"/>
      <c r="AA362" s="7"/>
      <c r="AB362" s="7"/>
      <c r="AC362" s="7"/>
      <c r="AD362" s="7"/>
      <c r="AE362" s="7"/>
      <c r="AF362" s="7"/>
      <c r="AG362" s="7"/>
    </row>
    <row r="363" spans="1:33" ht="15.75" customHeight="1">
      <c r="A363" s="23"/>
      <c r="B363" s="7"/>
      <c r="C363" s="7" t="s">
        <v>295</v>
      </c>
      <c r="D363" s="7"/>
      <c r="E363" s="7"/>
      <c r="F363" s="7"/>
      <c r="G363" s="7"/>
      <c r="H363" s="7"/>
      <c r="I363" s="7"/>
      <c r="J363" s="116" t="s">
        <v>198</v>
      </c>
      <c r="K363" s="116"/>
      <c r="L363" s="4" t="s">
        <v>180</v>
      </c>
      <c r="M363" s="191">
        <f>V166</f>
        <v>0.081</v>
      </c>
      <c r="N363" s="191"/>
      <c r="O363" s="191"/>
      <c r="P363" s="3" t="s">
        <v>195</v>
      </c>
      <c r="Q363" s="16"/>
      <c r="R363" s="7"/>
      <c r="S363" s="7"/>
      <c r="T363" s="7"/>
      <c r="U363" s="7"/>
      <c r="V363" s="7"/>
      <c r="W363" s="7"/>
      <c r="X363" s="7"/>
      <c r="Y363" s="7"/>
      <c r="Z363" s="7"/>
      <c r="AA363" s="7"/>
      <c r="AB363" s="7"/>
      <c r="AC363" s="7"/>
      <c r="AD363" s="7"/>
      <c r="AE363" s="7"/>
      <c r="AF363" s="7"/>
      <c r="AG363" s="7"/>
    </row>
    <row r="364" spans="1:33" ht="15.75" customHeight="1">
      <c r="A364" s="23"/>
      <c r="B364" s="7"/>
      <c r="C364" s="7" t="s">
        <v>296</v>
      </c>
      <c r="D364" s="7"/>
      <c r="E364" s="7"/>
      <c r="F364" s="7"/>
      <c r="G364" s="7"/>
      <c r="H364" s="7"/>
      <c r="I364" s="7"/>
      <c r="J364" s="116" t="s">
        <v>293</v>
      </c>
      <c r="K364" s="116"/>
      <c r="L364" s="4" t="s">
        <v>180</v>
      </c>
      <c r="M364" s="192">
        <f>L74</f>
        <v>3</v>
      </c>
      <c r="N364" s="192"/>
      <c r="O364" s="192"/>
      <c r="P364" s="3" t="s">
        <v>128</v>
      </c>
      <c r="S364" s="16"/>
      <c r="T364" s="7"/>
      <c r="U364" s="7"/>
      <c r="V364" s="7"/>
      <c r="W364" s="7"/>
      <c r="X364" s="7"/>
      <c r="Y364" s="7"/>
      <c r="Z364" s="7"/>
      <c r="AA364" s="7"/>
      <c r="AB364" s="7"/>
      <c r="AC364" s="7"/>
      <c r="AD364" s="7"/>
      <c r="AE364" s="7"/>
      <c r="AF364" s="7"/>
      <c r="AG364" s="7"/>
    </row>
    <row r="365" spans="1:51" ht="15.75" customHeight="1">
      <c r="A365" s="23"/>
      <c r="B365" s="7"/>
      <c r="C365" s="7" t="s">
        <v>297</v>
      </c>
      <c r="D365" s="7"/>
      <c r="E365" s="7"/>
      <c r="F365" s="7"/>
      <c r="G365" s="16"/>
      <c r="H365" s="7"/>
      <c r="I365" s="7"/>
      <c r="J365" s="116" t="s">
        <v>298</v>
      </c>
      <c r="K365" s="116"/>
      <c r="L365" s="4" t="s">
        <v>180</v>
      </c>
      <c r="M365" s="192">
        <f>ROUNDUP(M364/2,0)</f>
        <v>2</v>
      </c>
      <c r="N365" s="192"/>
      <c r="O365" s="192"/>
      <c r="P365" s="3" t="s">
        <v>128</v>
      </c>
      <c r="S365" s="7" t="s">
        <v>299</v>
      </c>
      <c r="T365" s="7"/>
      <c r="U365" s="7"/>
      <c r="V365" s="7"/>
      <c r="W365" s="16"/>
      <c r="X365" s="7"/>
      <c r="Y365" s="7"/>
      <c r="Z365" s="116" t="s">
        <v>300</v>
      </c>
      <c r="AA365" s="116"/>
      <c r="AB365" s="4" t="s">
        <v>180</v>
      </c>
      <c r="AC365" s="192">
        <f>M364-M365</f>
        <v>1</v>
      </c>
      <c r="AD365" s="192"/>
      <c r="AE365" s="192"/>
      <c r="AF365" s="3" t="s">
        <v>128</v>
      </c>
      <c r="AH365" s="16"/>
      <c r="AI365" s="7"/>
      <c r="AJ365" s="7"/>
      <c r="AK365" s="7"/>
      <c r="AL365" s="7"/>
      <c r="AM365" s="7"/>
      <c r="AN365" s="7"/>
      <c r="AO365" s="7"/>
      <c r="AP365" s="7"/>
      <c r="AQ365" s="7"/>
      <c r="AR365" s="7"/>
      <c r="AS365" s="7"/>
      <c r="AT365" s="7"/>
      <c r="AU365" s="7"/>
      <c r="AV365" s="7"/>
      <c r="AW365" s="7"/>
      <c r="AX365" s="7"/>
      <c r="AY365" s="7"/>
    </row>
    <row r="366" spans="1:34" ht="15.75" customHeight="1">
      <c r="A366" s="23"/>
      <c r="B366" s="7"/>
      <c r="C366" s="7" t="s">
        <v>301</v>
      </c>
      <c r="D366" s="3"/>
      <c r="G366" s="3"/>
      <c r="J366" s="116" t="s">
        <v>302</v>
      </c>
      <c r="K366" s="116"/>
      <c r="L366" s="4" t="s">
        <v>180</v>
      </c>
      <c r="M366" s="114">
        <f>ROUNDDOWN((L49-L75*2)/2/1000,3)</f>
        <v>0.195</v>
      </c>
      <c r="N366" s="114"/>
      <c r="O366" s="114"/>
      <c r="P366" s="3" t="s">
        <v>195</v>
      </c>
      <c r="R366" s="16"/>
      <c r="S366" s="7" t="s">
        <v>301</v>
      </c>
      <c r="Z366" s="116" t="s">
        <v>303</v>
      </c>
      <c r="AA366" s="116"/>
      <c r="AB366" s="4" t="s">
        <v>180</v>
      </c>
      <c r="AC366" s="114">
        <f>-M366</f>
        <v>-0.195</v>
      </c>
      <c r="AD366" s="114"/>
      <c r="AE366" s="114"/>
      <c r="AF366" s="3" t="s">
        <v>195</v>
      </c>
      <c r="AH366" s="7"/>
    </row>
    <row r="367" spans="1:33" ht="15.75" customHeight="1">
      <c r="A367" s="23"/>
      <c r="B367" s="7"/>
      <c r="C367" s="7"/>
      <c r="D367" s="7"/>
      <c r="E367" s="7"/>
      <c r="F367" s="7"/>
      <c r="G367" s="7"/>
      <c r="H367" s="7"/>
      <c r="I367" s="7"/>
      <c r="J367" s="17"/>
      <c r="K367" s="17"/>
      <c r="L367" s="17"/>
      <c r="M367" s="17"/>
      <c r="N367" s="7"/>
      <c r="O367" s="7"/>
      <c r="P367" s="16"/>
      <c r="Q367" s="16"/>
      <c r="R367" s="7"/>
      <c r="S367" s="7"/>
      <c r="T367" s="7"/>
      <c r="U367" s="7"/>
      <c r="V367" s="7"/>
      <c r="W367" s="7"/>
      <c r="X367" s="7"/>
      <c r="Y367" s="7"/>
      <c r="Z367" s="7"/>
      <c r="AA367" s="7"/>
      <c r="AB367" s="7"/>
      <c r="AC367" s="7"/>
      <c r="AD367" s="7"/>
      <c r="AE367" s="7"/>
      <c r="AF367" s="7"/>
      <c r="AG367" s="7"/>
    </row>
    <row r="368" spans="1:33" ht="15.75" customHeight="1">
      <c r="A368" s="23"/>
      <c r="B368" s="7"/>
      <c r="C368" s="7"/>
      <c r="D368" s="7"/>
      <c r="E368" s="7"/>
      <c r="F368" s="7"/>
      <c r="G368" s="7"/>
      <c r="H368" s="7"/>
      <c r="I368" s="7"/>
      <c r="J368" s="17"/>
      <c r="K368" s="17"/>
      <c r="L368" s="4"/>
      <c r="M368" s="195" t="s">
        <v>304</v>
      </c>
      <c r="N368" s="195"/>
      <c r="O368" s="195"/>
      <c r="P368" s="195"/>
      <c r="Q368" s="195"/>
      <c r="R368" s="195"/>
      <c r="S368" s="195"/>
      <c r="T368" s="195"/>
      <c r="U368" s="7"/>
      <c r="V368" s="195" t="s">
        <v>305</v>
      </c>
      <c r="W368" s="195"/>
      <c r="X368" s="195"/>
      <c r="Y368" s="195"/>
      <c r="Z368" s="195"/>
      <c r="AA368" s="195"/>
      <c r="AB368" s="195"/>
      <c r="AC368" s="195"/>
      <c r="AD368" s="7"/>
      <c r="AE368" s="7"/>
      <c r="AF368" s="7"/>
      <c r="AG368" s="7"/>
    </row>
    <row r="369" spans="1:34" ht="15.75" customHeight="1">
      <c r="A369" s="23"/>
      <c r="B369" s="7"/>
      <c r="C369" s="7"/>
      <c r="D369" s="7"/>
      <c r="E369" s="7"/>
      <c r="F369" s="7"/>
      <c r="G369" s="16"/>
      <c r="H369" s="196" t="s">
        <v>294</v>
      </c>
      <c r="I369" s="196"/>
      <c r="J369" s="196"/>
      <c r="K369" s="196"/>
      <c r="L369" s="4" t="s">
        <v>180</v>
      </c>
      <c r="M369" s="195" t="s">
        <v>306</v>
      </c>
      <c r="N369" s="195"/>
      <c r="O369" s="4" t="s">
        <v>179</v>
      </c>
      <c r="P369" s="12" t="s">
        <v>243</v>
      </c>
      <c r="Q369" s="185" t="s">
        <v>302</v>
      </c>
      <c r="R369" s="185"/>
      <c r="S369" s="185"/>
      <c r="T369" s="4" t="s">
        <v>307</v>
      </c>
      <c r="U369" s="4" t="s">
        <v>229</v>
      </c>
      <c r="V369" s="195" t="s">
        <v>308</v>
      </c>
      <c r="W369" s="195"/>
      <c r="X369" s="4" t="s">
        <v>179</v>
      </c>
      <c r="Y369" s="12" t="s">
        <v>243</v>
      </c>
      <c r="Z369" s="185" t="s">
        <v>303</v>
      </c>
      <c r="AA369" s="185"/>
      <c r="AB369" s="185"/>
      <c r="AC369" s="4" t="s">
        <v>307</v>
      </c>
      <c r="AD369" s="7"/>
      <c r="AE369" s="7"/>
      <c r="AF369" s="7"/>
      <c r="AG369" s="7"/>
      <c r="AH369" s="7"/>
    </row>
    <row r="370" spans="1:33" ht="15.75" customHeight="1">
      <c r="A370" s="23"/>
      <c r="B370" s="7"/>
      <c r="C370" s="7"/>
      <c r="D370" s="7"/>
      <c r="E370" s="7"/>
      <c r="F370" s="7"/>
      <c r="G370" s="7"/>
      <c r="H370" s="7"/>
      <c r="I370" s="7"/>
      <c r="J370" s="17"/>
      <c r="K370" s="17"/>
      <c r="L370" s="4" t="s">
        <v>180</v>
      </c>
      <c r="M370" s="192">
        <f>M365</f>
        <v>2</v>
      </c>
      <c r="N370" s="192"/>
      <c r="O370" s="4" t="s">
        <v>179</v>
      </c>
      <c r="P370" s="12" t="s">
        <v>243</v>
      </c>
      <c r="Q370" s="114">
        <f>M366</f>
        <v>0.195</v>
      </c>
      <c r="R370" s="114"/>
      <c r="S370" s="114"/>
      <c r="T370" s="4" t="s">
        <v>307</v>
      </c>
      <c r="U370" s="4" t="s">
        <v>229</v>
      </c>
      <c r="V370" s="192">
        <f>AC365</f>
        <v>1</v>
      </c>
      <c r="W370" s="192"/>
      <c r="X370" s="4" t="s">
        <v>179</v>
      </c>
      <c r="Y370" s="12" t="s">
        <v>243</v>
      </c>
      <c r="Z370" s="114">
        <f>AC366</f>
        <v>-0.195</v>
      </c>
      <c r="AA370" s="114"/>
      <c r="AB370" s="114"/>
      <c r="AC370" s="4" t="s">
        <v>307</v>
      </c>
      <c r="AD370" s="7"/>
      <c r="AE370" s="7"/>
      <c r="AF370" s="7"/>
      <c r="AG370" s="7"/>
    </row>
    <row r="371" spans="1:33" ht="15.75" customHeight="1">
      <c r="A371" s="23"/>
      <c r="B371" s="7"/>
      <c r="C371" s="7"/>
      <c r="D371" s="7"/>
      <c r="E371" s="7"/>
      <c r="F371" s="7"/>
      <c r="G371" s="7"/>
      <c r="H371" s="7"/>
      <c r="I371" s="7"/>
      <c r="J371" s="17"/>
      <c r="K371" s="17"/>
      <c r="L371" s="4" t="s">
        <v>180</v>
      </c>
      <c r="M371" s="191">
        <f>ROUND(M370*Q370^2+V370*Z370^2,3)</f>
        <v>0.114</v>
      </c>
      <c r="N371" s="191"/>
      <c r="O371" s="191"/>
      <c r="P371" s="3" t="s">
        <v>248</v>
      </c>
      <c r="Q371" s="16"/>
      <c r="R371" s="7"/>
      <c r="S371" s="7"/>
      <c r="T371" s="7"/>
      <c r="U371" s="7"/>
      <c r="V371" s="7"/>
      <c r="W371" s="7"/>
      <c r="X371" s="7"/>
      <c r="Y371" s="7"/>
      <c r="Z371" s="7"/>
      <c r="AA371" s="7"/>
      <c r="AB371" s="7"/>
      <c r="AC371" s="7"/>
      <c r="AD371" s="7"/>
      <c r="AE371" s="7"/>
      <c r="AF371" s="7"/>
      <c r="AG371" s="7"/>
    </row>
    <row r="372" spans="1:33" ht="15.75" customHeight="1">
      <c r="A372" s="23"/>
      <c r="B372" s="7"/>
      <c r="C372" s="7"/>
      <c r="D372" s="7"/>
      <c r="E372" s="7"/>
      <c r="F372" s="7"/>
      <c r="G372" s="7"/>
      <c r="H372" s="7"/>
      <c r="I372" s="7"/>
      <c r="J372" s="17"/>
      <c r="K372" s="17"/>
      <c r="L372" s="17"/>
      <c r="M372" s="17"/>
      <c r="N372" s="7"/>
      <c r="O372" s="7"/>
      <c r="P372" s="16"/>
      <c r="Q372" s="16"/>
      <c r="R372" s="7"/>
      <c r="S372" s="7"/>
      <c r="T372" s="7"/>
      <c r="U372" s="7"/>
      <c r="V372" s="7"/>
      <c r="W372" s="7"/>
      <c r="X372" s="7"/>
      <c r="Y372" s="7"/>
      <c r="Z372" s="7"/>
      <c r="AA372" s="7"/>
      <c r="AB372" s="7"/>
      <c r="AC372" s="7"/>
      <c r="AD372" s="7"/>
      <c r="AE372" s="7"/>
      <c r="AF372" s="7"/>
      <c r="AG372" s="7"/>
    </row>
    <row r="373" spans="1:33" ht="15.75" customHeight="1">
      <c r="A373" s="23"/>
      <c r="B373" s="7" t="s">
        <v>309</v>
      </c>
      <c r="C373" s="7"/>
      <c r="D373" s="7"/>
      <c r="E373" s="7"/>
      <c r="F373" s="7"/>
      <c r="G373" s="7"/>
      <c r="H373" s="7"/>
      <c r="I373" s="7"/>
      <c r="J373" s="17"/>
      <c r="K373" s="17"/>
      <c r="L373" s="17"/>
      <c r="M373" s="17"/>
      <c r="N373" s="7"/>
      <c r="O373" s="7"/>
      <c r="P373" s="16"/>
      <c r="Q373" s="16"/>
      <c r="R373" s="7"/>
      <c r="S373" s="7"/>
      <c r="T373" s="7"/>
      <c r="U373" s="7"/>
      <c r="V373" s="7"/>
      <c r="W373" s="7"/>
      <c r="X373" s="7"/>
      <c r="Y373" s="7"/>
      <c r="Z373" s="7"/>
      <c r="AA373" s="7"/>
      <c r="AB373" s="7"/>
      <c r="AC373" s="7"/>
      <c r="AD373" s="7"/>
      <c r="AE373" s="7"/>
      <c r="AF373" s="7"/>
      <c r="AG373" s="7"/>
    </row>
    <row r="374" spans="1:33" ht="15.75" customHeight="1">
      <c r="A374" s="23"/>
      <c r="B374" s="7"/>
      <c r="C374" s="116" t="s">
        <v>289</v>
      </c>
      <c r="D374" s="116"/>
      <c r="E374" s="116" t="s">
        <v>180</v>
      </c>
      <c r="F374" s="119">
        <f>S357</f>
        <v>14.45</v>
      </c>
      <c r="G374" s="119"/>
      <c r="H374" s="119"/>
      <c r="I374" s="116" t="s">
        <v>229</v>
      </c>
      <c r="J374" s="119">
        <f>S357</f>
        <v>14.45</v>
      </c>
      <c r="K374" s="119"/>
      <c r="L374" s="119"/>
      <c r="M374" s="15" t="s">
        <v>179</v>
      </c>
      <c r="N374" s="183">
        <f>M363</f>
        <v>0.081</v>
      </c>
      <c r="O374" s="183"/>
      <c r="P374" s="183"/>
      <c r="Q374" s="116" t="s">
        <v>179</v>
      </c>
      <c r="R374" s="116" t="s">
        <v>243</v>
      </c>
      <c r="S374" s="116" t="s">
        <v>310</v>
      </c>
      <c r="T374" s="185">
        <f>M366</f>
        <v>0.195</v>
      </c>
      <c r="U374" s="185"/>
      <c r="V374" s="185"/>
      <c r="W374" s="116" t="s">
        <v>244</v>
      </c>
      <c r="X374" s="7"/>
      <c r="Y374" s="7"/>
      <c r="Z374" s="7"/>
      <c r="AA374" s="7"/>
      <c r="AB374" s="7"/>
      <c r="AC374" s="7"/>
      <c r="AD374" s="7"/>
      <c r="AE374" s="7"/>
      <c r="AF374" s="7"/>
      <c r="AG374" s="7"/>
    </row>
    <row r="375" spans="1:33" ht="15.75" customHeight="1">
      <c r="A375" s="23"/>
      <c r="B375" s="7"/>
      <c r="C375" s="116"/>
      <c r="D375" s="116"/>
      <c r="E375" s="116"/>
      <c r="F375" s="121">
        <f>M364</f>
        <v>3</v>
      </c>
      <c r="G375" s="121"/>
      <c r="H375" s="121"/>
      <c r="I375" s="116"/>
      <c r="J375" s="39"/>
      <c r="K375" s="39"/>
      <c r="L375" s="197">
        <f>M371</f>
        <v>0.114</v>
      </c>
      <c r="M375" s="197"/>
      <c r="N375" s="197"/>
      <c r="O375" s="7"/>
      <c r="P375" s="16"/>
      <c r="Q375" s="116"/>
      <c r="R375" s="116"/>
      <c r="S375" s="116"/>
      <c r="T375" s="185"/>
      <c r="U375" s="185"/>
      <c r="V375" s="185"/>
      <c r="W375" s="116"/>
      <c r="X375" s="7"/>
      <c r="Y375" s="7"/>
      <c r="Z375" s="7"/>
      <c r="AA375" s="7"/>
      <c r="AB375" s="7"/>
      <c r="AC375" s="7"/>
      <c r="AD375" s="7"/>
      <c r="AE375" s="7"/>
      <c r="AF375" s="7"/>
      <c r="AG375" s="7"/>
    </row>
    <row r="376" spans="1:33" ht="15.75" customHeight="1">
      <c r="A376" s="23"/>
      <c r="B376" s="7"/>
      <c r="C376" s="7"/>
      <c r="D376" s="7"/>
      <c r="E376" s="4" t="s">
        <v>180</v>
      </c>
      <c r="F376" s="155">
        <f>ROUND(F374/F375,2)</f>
        <v>4.82</v>
      </c>
      <c r="G376" s="155"/>
      <c r="H376" s="155"/>
      <c r="I376" s="4" t="s">
        <v>310</v>
      </c>
      <c r="J376" s="155">
        <f>ROUND(J374*N374/L375*T374,2)</f>
        <v>2</v>
      </c>
      <c r="K376" s="155"/>
      <c r="L376" s="155"/>
      <c r="M376" s="17"/>
      <c r="N376" s="7"/>
      <c r="O376" s="7"/>
      <c r="P376" s="16"/>
      <c r="Q376" s="16"/>
      <c r="R376" s="7"/>
      <c r="S376" s="7"/>
      <c r="T376" s="7"/>
      <c r="U376" s="7"/>
      <c r="V376" s="7"/>
      <c r="W376" s="7"/>
      <c r="X376" s="7"/>
      <c r="Y376" s="7"/>
      <c r="Z376" s="7"/>
      <c r="AA376" s="7"/>
      <c r="AB376" s="7"/>
      <c r="AC376" s="7"/>
      <c r="AD376" s="7"/>
      <c r="AE376" s="7"/>
      <c r="AF376" s="7"/>
      <c r="AG376" s="7"/>
    </row>
    <row r="377" spans="1:33" ht="15.75" customHeight="1">
      <c r="A377" s="23"/>
      <c r="B377" s="7"/>
      <c r="C377" s="7"/>
      <c r="D377" s="7"/>
      <c r="E377" s="116" t="s">
        <v>180</v>
      </c>
      <c r="F377" s="116" t="s">
        <v>311</v>
      </c>
      <c r="G377" s="155">
        <f>ROUND(F376+J376,2)</f>
        <v>6.82</v>
      </c>
      <c r="H377" s="155"/>
      <c r="I377" s="155"/>
      <c r="J377" s="116" t="s">
        <v>312</v>
      </c>
      <c r="K377" s="120" t="s">
        <v>181</v>
      </c>
      <c r="L377" s="120"/>
      <c r="M377" s="17" t="s">
        <v>313</v>
      </c>
      <c r="N377" s="7"/>
      <c r="O377" s="7"/>
      <c r="P377" s="16"/>
      <c r="Q377" s="16"/>
      <c r="R377" s="7"/>
      <c r="S377" s="7"/>
      <c r="T377" s="7"/>
      <c r="U377" s="7"/>
      <c r="V377" s="7"/>
      <c r="W377" s="7"/>
      <c r="X377" s="7"/>
      <c r="Y377" s="7"/>
      <c r="Z377" s="7"/>
      <c r="AA377" s="7"/>
      <c r="AB377" s="7"/>
      <c r="AC377" s="7"/>
      <c r="AD377" s="7"/>
      <c r="AE377" s="7"/>
      <c r="AF377" s="7"/>
      <c r="AG377" s="7"/>
    </row>
    <row r="378" spans="1:33" ht="15.75" customHeight="1">
      <c r="A378" s="23"/>
      <c r="B378" s="7"/>
      <c r="C378" s="7"/>
      <c r="D378" s="7"/>
      <c r="E378" s="116"/>
      <c r="F378" s="116"/>
      <c r="G378" s="155">
        <f>ROUND(F376-J376,2)</f>
        <v>2.82</v>
      </c>
      <c r="H378" s="155"/>
      <c r="I378" s="155"/>
      <c r="J378" s="116"/>
      <c r="K378" s="120"/>
      <c r="L378" s="120"/>
      <c r="M378" s="17" t="s">
        <v>314</v>
      </c>
      <c r="N378" s="7"/>
      <c r="O378" s="7"/>
      <c r="P378" s="16"/>
      <c r="Q378" s="16"/>
      <c r="R378" s="7"/>
      <c r="S378" s="7"/>
      <c r="T378" s="7"/>
      <c r="U378" s="7"/>
      <c r="V378" s="7"/>
      <c r="W378" s="7"/>
      <c r="X378" s="7"/>
      <c r="Y378" s="7"/>
      <c r="Z378" s="7"/>
      <c r="AA378" s="7"/>
      <c r="AB378" s="7"/>
      <c r="AC378" s="7"/>
      <c r="AD378" s="7"/>
      <c r="AE378" s="7"/>
      <c r="AF378" s="7"/>
      <c r="AG378" s="7"/>
    </row>
    <row r="379" spans="1:33" ht="15.75" customHeight="1">
      <c r="A379" s="23"/>
      <c r="B379" s="7"/>
      <c r="D379" s="4"/>
      <c r="E379" s="4"/>
      <c r="F379" s="9"/>
      <c r="G379" s="9"/>
      <c r="H379" s="9"/>
      <c r="I379" s="9"/>
      <c r="J379" s="9"/>
      <c r="K379" s="9"/>
      <c r="L379" s="9"/>
      <c r="M379" s="9"/>
      <c r="N379" s="9"/>
      <c r="O379" s="9"/>
      <c r="P379" s="9"/>
      <c r="Q379" s="4"/>
      <c r="R379" s="7"/>
      <c r="S379" s="7"/>
      <c r="T379" s="7"/>
      <c r="U379" s="7"/>
      <c r="V379" s="7"/>
      <c r="W379" s="7"/>
      <c r="X379" s="7"/>
      <c r="Y379" s="7"/>
      <c r="Z379" s="7"/>
      <c r="AA379" s="7"/>
      <c r="AB379" s="7"/>
      <c r="AC379" s="7"/>
      <c r="AD379" s="7"/>
      <c r="AE379" s="7"/>
      <c r="AF379" s="7"/>
      <c r="AG379" s="7"/>
    </row>
    <row r="380" spans="1:33" ht="15.75" customHeight="1">
      <c r="A380" s="23" t="s">
        <v>315</v>
      </c>
      <c r="B380" s="7"/>
      <c r="D380" s="4"/>
      <c r="E380" s="4"/>
      <c r="F380" s="9"/>
      <c r="G380" s="9"/>
      <c r="H380" s="9"/>
      <c r="I380" s="9"/>
      <c r="J380" s="9"/>
      <c r="K380" s="9"/>
      <c r="L380" s="9"/>
      <c r="M380" s="9"/>
      <c r="N380" s="9"/>
      <c r="O380" s="9"/>
      <c r="P380" s="9"/>
      <c r="Q380" s="4"/>
      <c r="R380" s="7"/>
      <c r="S380" s="7"/>
      <c r="T380" s="7"/>
      <c r="U380" s="7"/>
      <c r="V380" s="7"/>
      <c r="W380" s="7"/>
      <c r="X380" s="7"/>
      <c r="Y380" s="7"/>
      <c r="Z380" s="7"/>
      <c r="AA380" s="7"/>
      <c r="AB380" s="7"/>
      <c r="AC380" s="7"/>
      <c r="AD380" s="7"/>
      <c r="AE380" s="7"/>
      <c r="AF380" s="7"/>
      <c r="AG380" s="7"/>
    </row>
    <row r="381" spans="1:33" ht="15.75" customHeight="1">
      <c r="A381" s="23"/>
      <c r="B381" s="7"/>
      <c r="D381" s="4"/>
      <c r="E381" s="4"/>
      <c r="F381" s="9"/>
      <c r="G381" s="9"/>
      <c r="H381" s="9"/>
      <c r="I381" s="9"/>
      <c r="J381" s="9"/>
      <c r="K381" s="9"/>
      <c r="L381" s="9"/>
      <c r="M381" s="9"/>
      <c r="N381" s="9"/>
      <c r="O381" s="9"/>
      <c r="P381" s="9"/>
      <c r="Q381" s="4"/>
      <c r="R381" s="7"/>
      <c r="S381" s="7"/>
      <c r="T381" s="7"/>
      <c r="U381" s="7"/>
      <c r="V381" s="7"/>
      <c r="W381" s="7"/>
      <c r="X381" s="7"/>
      <c r="Y381" s="7"/>
      <c r="Z381" s="7"/>
      <c r="AA381" s="7"/>
      <c r="AB381" s="7"/>
      <c r="AC381" s="7"/>
      <c r="AD381" s="7"/>
      <c r="AE381" s="7"/>
      <c r="AF381" s="7"/>
      <c r="AG381" s="7"/>
    </row>
    <row r="382" spans="2:10" ht="15.75" customHeight="1">
      <c r="B382" s="7" t="s">
        <v>284</v>
      </c>
      <c r="C382" s="7"/>
      <c r="D382" s="30"/>
      <c r="E382" s="7"/>
      <c r="F382" s="7"/>
      <c r="G382" s="30"/>
      <c r="H382" s="7"/>
      <c r="I382" s="7"/>
      <c r="J382" s="7"/>
    </row>
    <row r="383" spans="3:10" ht="15.75" customHeight="1">
      <c r="C383" s="7"/>
      <c r="D383" s="30"/>
      <c r="E383" s="7"/>
      <c r="F383" s="7"/>
      <c r="G383" s="30"/>
      <c r="H383" s="7"/>
      <c r="I383" s="7"/>
      <c r="J383" s="7"/>
    </row>
    <row r="384" spans="3:25" ht="15.75" customHeight="1">
      <c r="C384" s="116" t="s">
        <v>285</v>
      </c>
      <c r="D384" s="116"/>
      <c r="E384" s="4" t="s">
        <v>180</v>
      </c>
      <c r="F384" s="7" t="s">
        <v>286</v>
      </c>
      <c r="G384" s="30"/>
      <c r="H384" s="7"/>
      <c r="I384" s="7"/>
      <c r="J384" s="4" t="s">
        <v>180</v>
      </c>
      <c r="K384" s="155">
        <f>J180</f>
        <v>25.14</v>
      </c>
      <c r="L384" s="155"/>
      <c r="M384" s="155"/>
      <c r="N384" s="4" t="s">
        <v>84</v>
      </c>
      <c r="O384" s="155">
        <f>N309</f>
        <v>13.96</v>
      </c>
      <c r="P384" s="155"/>
      <c r="Q384" s="155"/>
      <c r="R384" s="4" t="s">
        <v>180</v>
      </c>
      <c r="S384" s="155">
        <f>IF(K384-O384&lt;0,0,ROUND(K384-O384,2))</f>
        <v>11.18</v>
      </c>
      <c r="T384" s="155"/>
      <c r="U384" s="155"/>
      <c r="V384" s="3" t="s">
        <v>181</v>
      </c>
      <c r="Y384" s="3" t="s">
        <v>287</v>
      </c>
    </row>
    <row r="385" spans="3:10" ht="15.75" customHeight="1">
      <c r="C385" s="7"/>
      <c r="D385" s="30"/>
      <c r="E385" s="7"/>
      <c r="F385" s="7"/>
      <c r="G385" s="30"/>
      <c r="H385" s="7"/>
      <c r="I385" s="7"/>
      <c r="J385" s="7"/>
    </row>
    <row r="386" spans="2:10" ht="15.75" customHeight="1">
      <c r="B386" s="7" t="s">
        <v>288</v>
      </c>
      <c r="C386" s="7"/>
      <c r="D386" s="30"/>
      <c r="E386" s="7"/>
      <c r="F386" s="7"/>
      <c r="G386" s="30"/>
      <c r="H386" s="7"/>
      <c r="I386" s="7"/>
      <c r="J386" s="7"/>
    </row>
    <row r="387" spans="3:30" ht="15.75" customHeight="1">
      <c r="C387" s="116" t="s">
        <v>289</v>
      </c>
      <c r="D387" s="116"/>
      <c r="E387" s="116" t="s">
        <v>180</v>
      </c>
      <c r="F387" s="118" t="s">
        <v>285</v>
      </c>
      <c r="G387" s="118"/>
      <c r="H387" s="118"/>
      <c r="I387" s="116" t="s">
        <v>229</v>
      </c>
      <c r="J387" s="119" t="s">
        <v>290</v>
      </c>
      <c r="K387" s="119"/>
      <c r="L387" s="119"/>
      <c r="M387" s="119"/>
      <c r="N387" s="123" t="s">
        <v>291</v>
      </c>
      <c r="O387" s="123"/>
      <c r="P387" s="16"/>
      <c r="Q387" s="16"/>
      <c r="Y387" s="123" t="s">
        <v>292</v>
      </c>
      <c r="Z387" s="123"/>
      <c r="AA387" s="123"/>
      <c r="AB387" s="123"/>
      <c r="AC387" s="123"/>
      <c r="AD387" s="123"/>
    </row>
    <row r="388" spans="3:30" ht="15.75" customHeight="1">
      <c r="C388" s="116"/>
      <c r="D388" s="116"/>
      <c r="E388" s="116"/>
      <c r="F388" s="121" t="s">
        <v>293</v>
      </c>
      <c r="G388" s="121"/>
      <c r="H388" s="121"/>
      <c r="I388" s="116"/>
      <c r="J388" s="194" t="s">
        <v>294</v>
      </c>
      <c r="K388" s="194"/>
      <c r="L388" s="194"/>
      <c r="M388" s="194"/>
      <c r="N388" s="123"/>
      <c r="O388" s="123"/>
      <c r="P388" s="16"/>
      <c r="Q388" s="16"/>
      <c r="Y388" s="123"/>
      <c r="Z388" s="123"/>
      <c r="AA388" s="123"/>
      <c r="AB388" s="123"/>
      <c r="AC388" s="123"/>
      <c r="AD388" s="123"/>
    </row>
    <row r="389" spans="1:33" ht="15.75" customHeight="1">
      <c r="A389" s="23"/>
      <c r="B389" s="7"/>
      <c r="C389" s="7"/>
      <c r="D389" s="7"/>
      <c r="E389" s="7"/>
      <c r="F389" s="7"/>
      <c r="G389" s="7"/>
      <c r="H389" s="7"/>
      <c r="I389" s="7"/>
      <c r="J389" s="17"/>
      <c r="K389" s="17"/>
      <c r="L389" s="17"/>
      <c r="M389" s="17"/>
      <c r="N389" s="7"/>
      <c r="O389" s="7"/>
      <c r="P389" s="16"/>
      <c r="Q389" s="16"/>
      <c r="R389" s="7"/>
      <c r="S389" s="7"/>
      <c r="T389" s="7"/>
      <c r="U389" s="7"/>
      <c r="V389" s="7"/>
      <c r="W389" s="7"/>
      <c r="X389" s="7"/>
      <c r="Y389" s="7"/>
      <c r="Z389" s="7"/>
      <c r="AA389" s="7"/>
      <c r="AB389" s="7"/>
      <c r="AC389" s="7"/>
      <c r="AD389" s="7"/>
      <c r="AE389" s="7"/>
      <c r="AF389" s="7"/>
      <c r="AG389" s="7"/>
    </row>
    <row r="390" spans="1:33" ht="15.75" customHeight="1">
      <c r="A390" s="23"/>
      <c r="B390" s="7"/>
      <c r="C390" s="7" t="s">
        <v>295</v>
      </c>
      <c r="D390" s="7"/>
      <c r="E390" s="7"/>
      <c r="F390" s="7"/>
      <c r="G390" s="7"/>
      <c r="H390" s="7"/>
      <c r="I390" s="7"/>
      <c r="J390" s="116" t="s">
        <v>198</v>
      </c>
      <c r="K390" s="116"/>
      <c r="L390" s="4" t="s">
        <v>180</v>
      </c>
      <c r="M390" s="191">
        <f>V186</f>
        <v>0.138</v>
      </c>
      <c r="N390" s="191"/>
      <c r="O390" s="191"/>
      <c r="P390" s="3" t="s">
        <v>195</v>
      </c>
      <c r="Q390" s="16"/>
      <c r="R390" s="7"/>
      <c r="S390" s="7"/>
      <c r="T390" s="7"/>
      <c r="U390" s="7"/>
      <c r="V390" s="7"/>
      <c r="W390" s="7"/>
      <c r="X390" s="7"/>
      <c r="Y390" s="7"/>
      <c r="Z390" s="7"/>
      <c r="AA390" s="7"/>
      <c r="AB390" s="7"/>
      <c r="AC390" s="7"/>
      <c r="AD390" s="7"/>
      <c r="AE390" s="7"/>
      <c r="AF390" s="7"/>
      <c r="AG390" s="7"/>
    </row>
    <row r="391" spans="1:33" ht="15.75" customHeight="1">
      <c r="A391" s="23"/>
      <c r="B391" s="7"/>
      <c r="C391" s="7" t="s">
        <v>296</v>
      </c>
      <c r="D391" s="7"/>
      <c r="E391" s="7"/>
      <c r="F391" s="7"/>
      <c r="G391" s="7"/>
      <c r="H391" s="7"/>
      <c r="I391" s="7"/>
      <c r="J391" s="116" t="s">
        <v>293</v>
      </c>
      <c r="K391" s="116"/>
      <c r="L391" s="4" t="s">
        <v>180</v>
      </c>
      <c r="M391" s="192">
        <f>M364</f>
        <v>3</v>
      </c>
      <c r="N391" s="192"/>
      <c r="O391" s="192"/>
      <c r="P391" s="3" t="s">
        <v>128</v>
      </c>
      <c r="S391" s="16"/>
      <c r="T391" s="7"/>
      <c r="U391" s="7"/>
      <c r="V391" s="7"/>
      <c r="W391" s="7"/>
      <c r="X391" s="7"/>
      <c r="Y391" s="7"/>
      <c r="Z391" s="7"/>
      <c r="AA391" s="7"/>
      <c r="AB391" s="7"/>
      <c r="AC391" s="7"/>
      <c r="AD391" s="7"/>
      <c r="AE391" s="7"/>
      <c r="AF391" s="7"/>
      <c r="AG391" s="7"/>
    </row>
    <row r="392" spans="1:33" ht="15.75" customHeight="1">
      <c r="A392" s="23"/>
      <c r="B392" s="7"/>
      <c r="C392" s="7"/>
      <c r="D392" s="7"/>
      <c r="E392" s="7"/>
      <c r="F392" s="7"/>
      <c r="G392" s="7"/>
      <c r="H392" s="7"/>
      <c r="I392" s="7"/>
      <c r="J392" s="17"/>
      <c r="K392" s="17"/>
      <c r="L392" s="17"/>
      <c r="M392" s="17"/>
      <c r="N392" s="7"/>
      <c r="O392" s="7"/>
      <c r="P392" s="16"/>
      <c r="Q392" s="16"/>
      <c r="R392" s="7"/>
      <c r="S392" s="7"/>
      <c r="T392" s="7"/>
      <c r="U392" s="7"/>
      <c r="V392" s="7"/>
      <c r="W392" s="7"/>
      <c r="X392" s="7"/>
      <c r="Y392" s="7"/>
      <c r="Z392" s="7"/>
      <c r="AA392" s="7"/>
      <c r="AB392" s="7"/>
      <c r="AC392" s="7"/>
      <c r="AD392" s="7"/>
      <c r="AE392" s="7"/>
      <c r="AF392" s="7"/>
      <c r="AG392" s="7"/>
    </row>
    <row r="393" spans="1:33" ht="15.75" customHeight="1">
      <c r="A393" s="23"/>
      <c r="B393" s="7" t="s">
        <v>309</v>
      </c>
      <c r="C393" s="7"/>
      <c r="D393" s="7"/>
      <c r="E393" s="7"/>
      <c r="F393" s="7"/>
      <c r="G393" s="7"/>
      <c r="H393" s="7"/>
      <c r="I393" s="7"/>
      <c r="J393" s="17"/>
      <c r="K393" s="17"/>
      <c r="L393" s="17"/>
      <c r="M393" s="17"/>
      <c r="N393" s="7"/>
      <c r="O393" s="7"/>
      <c r="P393" s="16"/>
      <c r="Q393" s="16"/>
      <c r="R393" s="7"/>
      <c r="S393" s="7"/>
      <c r="T393" s="7"/>
      <c r="U393" s="7"/>
      <c r="V393" s="7"/>
      <c r="W393" s="7"/>
      <c r="X393" s="7"/>
      <c r="Y393" s="7"/>
      <c r="Z393" s="7"/>
      <c r="AA393" s="7"/>
      <c r="AB393" s="7"/>
      <c r="AC393" s="7"/>
      <c r="AD393" s="7"/>
      <c r="AE393" s="7"/>
      <c r="AF393" s="7"/>
      <c r="AG393" s="7"/>
    </row>
    <row r="394" spans="1:33" ht="15.75" customHeight="1">
      <c r="A394" s="23"/>
      <c r="B394" s="7"/>
      <c r="C394" s="116" t="s">
        <v>289</v>
      </c>
      <c r="D394" s="116"/>
      <c r="E394" s="116" t="s">
        <v>180</v>
      </c>
      <c r="F394" s="119">
        <f>S384</f>
        <v>11.18</v>
      </c>
      <c r="G394" s="119"/>
      <c r="H394" s="119"/>
      <c r="I394" s="116" t="s">
        <v>229</v>
      </c>
      <c r="J394" s="119">
        <f>S384</f>
        <v>11.18</v>
      </c>
      <c r="K394" s="119"/>
      <c r="L394" s="119"/>
      <c r="M394" s="15" t="s">
        <v>179</v>
      </c>
      <c r="N394" s="183">
        <f>M390</f>
        <v>0.138</v>
      </c>
      <c r="O394" s="183"/>
      <c r="P394" s="183"/>
      <c r="Q394" s="116" t="s">
        <v>179</v>
      </c>
      <c r="R394" s="116" t="s">
        <v>243</v>
      </c>
      <c r="S394" s="116" t="s">
        <v>310</v>
      </c>
      <c r="T394" s="185">
        <f>T374</f>
        <v>0.195</v>
      </c>
      <c r="U394" s="185"/>
      <c r="V394" s="185"/>
      <c r="W394" s="116" t="s">
        <v>244</v>
      </c>
      <c r="X394" s="7"/>
      <c r="Y394" s="7"/>
      <c r="Z394" s="7"/>
      <c r="AA394" s="7"/>
      <c r="AB394" s="7"/>
      <c r="AC394" s="7"/>
      <c r="AD394" s="7"/>
      <c r="AE394" s="7"/>
      <c r="AF394" s="7"/>
      <c r="AG394" s="7"/>
    </row>
    <row r="395" spans="1:33" ht="15.75" customHeight="1">
      <c r="A395" s="23"/>
      <c r="B395" s="7"/>
      <c r="C395" s="116"/>
      <c r="D395" s="116"/>
      <c r="E395" s="116"/>
      <c r="F395" s="121">
        <f>M391</f>
        <v>3</v>
      </c>
      <c r="G395" s="121"/>
      <c r="H395" s="121"/>
      <c r="I395" s="116"/>
      <c r="J395" s="39"/>
      <c r="K395" s="39"/>
      <c r="L395" s="197">
        <f>M371</f>
        <v>0.114</v>
      </c>
      <c r="M395" s="197"/>
      <c r="N395" s="197"/>
      <c r="O395" s="7"/>
      <c r="P395" s="16"/>
      <c r="Q395" s="116"/>
      <c r="R395" s="116"/>
      <c r="S395" s="116"/>
      <c r="T395" s="185"/>
      <c r="U395" s="185"/>
      <c r="V395" s="185"/>
      <c r="W395" s="116"/>
      <c r="X395" s="7"/>
      <c r="Y395" s="7"/>
      <c r="Z395" s="7"/>
      <c r="AA395" s="7"/>
      <c r="AB395" s="7"/>
      <c r="AC395" s="7"/>
      <c r="AD395" s="7"/>
      <c r="AE395" s="7"/>
      <c r="AF395" s="7"/>
      <c r="AG395" s="7"/>
    </row>
    <row r="396" spans="1:33" ht="15.75" customHeight="1">
      <c r="A396" s="23"/>
      <c r="B396" s="7"/>
      <c r="C396" s="7"/>
      <c r="D396" s="7"/>
      <c r="E396" s="4" t="s">
        <v>180</v>
      </c>
      <c r="F396" s="155">
        <f>ROUND(F394/F395,2)</f>
        <v>3.73</v>
      </c>
      <c r="G396" s="155"/>
      <c r="H396" s="155"/>
      <c r="I396" s="4" t="s">
        <v>310</v>
      </c>
      <c r="J396" s="155">
        <f>ROUND(J394*N394/L395*T394,2)</f>
        <v>2.64</v>
      </c>
      <c r="K396" s="155"/>
      <c r="L396" s="155"/>
      <c r="M396" s="17"/>
      <c r="N396" s="7"/>
      <c r="O396" s="7"/>
      <c r="P396" s="16"/>
      <c r="Q396" s="16"/>
      <c r="R396" s="7"/>
      <c r="S396" s="7"/>
      <c r="T396" s="7"/>
      <c r="U396" s="7"/>
      <c r="V396" s="7"/>
      <c r="W396" s="7"/>
      <c r="X396" s="7"/>
      <c r="Y396" s="7"/>
      <c r="Z396" s="7"/>
      <c r="AA396" s="7"/>
      <c r="AB396" s="7"/>
      <c r="AC396" s="7"/>
      <c r="AD396" s="7"/>
      <c r="AE396" s="7"/>
      <c r="AF396" s="7"/>
      <c r="AG396" s="7"/>
    </row>
    <row r="397" spans="1:33" ht="15.75" customHeight="1">
      <c r="A397" s="23"/>
      <c r="B397" s="7"/>
      <c r="C397" s="7"/>
      <c r="D397" s="7"/>
      <c r="E397" s="116" t="s">
        <v>180</v>
      </c>
      <c r="F397" s="116" t="s">
        <v>311</v>
      </c>
      <c r="G397" s="155">
        <f>ROUND(F396+J396,2)</f>
        <v>6.37</v>
      </c>
      <c r="H397" s="155"/>
      <c r="I397" s="155"/>
      <c r="J397" s="116" t="s">
        <v>312</v>
      </c>
      <c r="K397" s="120" t="s">
        <v>181</v>
      </c>
      <c r="L397" s="120"/>
      <c r="M397" s="17" t="s">
        <v>313</v>
      </c>
      <c r="N397" s="7"/>
      <c r="O397" s="7"/>
      <c r="P397" s="16"/>
      <c r="Q397" s="16"/>
      <c r="R397" s="7"/>
      <c r="S397" s="7"/>
      <c r="T397" s="7"/>
      <c r="U397" s="7"/>
      <c r="V397" s="7"/>
      <c r="W397" s="7"/>
      <c r="X397" s="7"/>
      <c r="Y397" s="7"/>
      <c r="Z397" s="7"/>
      <c r="AA397" s="7"/>
      <c r="AB397" s="7"/>
      <c r="AC397" s="7"/>
      <c r="AD397" s="7"/>
      <c r="AE397" s="7"/>
      <c r="AF397" s="7"/>
      <c r="AG397" s="7"/>
    </row>
    <row r="398" spans="1:33" ht="15.75" customHeight="1">
      <c r="A398" s="23"/>
      <c r="B398" s="7"/>
      <c r="C398" s="7"/>
      <c r="D398" s="7"/>
      <c r="E398" s="116"/>
      <c r="F398" s="116"/>
      <c r="G398" s="155">
        <f>ROUND(F396-J396,2)</f>
        <v>1.09</v>
      </c>
      <c r="H398" s="155"/>
      <c r="I398" s="155"/>
      <c r="J398" s="116"/>
      <c r="K398" s="120"/>
      <c r="L398" s="120"/>
      <c r="M398" s="17" t="s">
        <v>314</v>
      </c>
      <c r="N398" s="7"/>
      <c r="O398" s="7"/>
      <c r="P398" s="16"/>
      <c r="Q398" s="16"/>
      <c r="R398" s="7"/>
      <c r="S398" s="7"/>
      <c r="T398" s="7"/>
      <c r="U398" s="7"/>
      <c r="V398" s="7"/>
      <c r="W398" s="7"/>
      <c r="X398" s="7"/>
      <c r="Y398" s="7"/>
      <c r="Z398" s="7"/>
      <c r="AA398" s="7"/>
      <c r="AB398" s="7"/>
      <c r="AC398" s="7"/>
      <c r="AD398" s="7"/>
      <c r="AE398" s="7"/>
      <c r="AF398" s="7"/>
      <c r="AG398" s="7"/>
    </row>
    <row r="399" spans="1:33" ht="15.75" customHeight="1">
      <c r="A399" s="23"/>
      <c r="B399" s="7"/>
      <c r="C399" s="7"/>
      <c r="D399" s="30"/>
      <c r="E399" s="7"/>
      <c r="F399" s="7"/>
      <c r="G399" s="30"/>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row>
    <row r="400" ht="15.75" customHeight="1">
      <c r="A400" s="2" t="s">
        <v>22</v>
      </c>
    </row>
    <row r="401" spans="1:33" ht="15.75" customHeight="1">
      <c r="A401" s="23"/>
      <c r="B401" s="7"/>
      <c r="C401" s="7"/>
      <c r="D401" s="30"/>
      <c r="E401" s="7"/>
      <c r="F401" s="7"/>
      <c r="G401" s="30"/>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row>
    <row r="402" spans="1:33" ht="15.75" customHeight="1">
      <c r="A402" s="23"/>
      <c r="B402" s="125" t="s">
        <v>316</v>
      </c>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row>
    <row r="403" spans="1:33" ht="15.75" customHeight="1">
      <c r="A403" s="23"/>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row>
    <row r="404" spans="1:33" ht="15.75" customHeight="1">
      <c r="A404" s="23"/>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row>
    <row r="405" spans="1:33" ht="15.75" customHeight="1">
      <c r="A405" s="23"/>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row>
    <row r="406" spans="1:33" ht="15.75" customHeight="1">
      <c r="A406" s="23" t="s">
        <v>317</v>
      </c>
      <c r="B406" s="7"/>
      <c r="D406" s="4"/>
      <c r="E406" s="4"/>
      <c r="F406" s="9"/>
      <c r="G406" s="9"/>
      <c r="H406" s="9"/>
      <c r="I406" s="9"/>
      <c r="J406" s="9"/>
      <c r="K406" s="9"/>
      <c r="L406" s="9"/>
      <c r="M406" s="9"/>
      <c r="N406" s="9"/>
      <c r="O406" s="9"/>
      <c r="P406" s="9"/>
      <c r="Q406" s="4"/>
      <c r="R406" s="7"/>
      <c r="S406" s="7"/>
      <c r="T406" s="7"/>
      <c r="U406" s="7"/>
      <c r="V406" s="7"/>
      <c r="W406" s="7"/>
      <c r="X406" s="7"/>
      <c r="Y406" s="7"/>
      <c r="Z406" s="7"/>
      <c r="AA406" s="7"/>
      <c r="AB406" s="7"/>
      <c r="AC406" s="7"/>
      <c r="AD406" s="7"/>
      <c r="AE406" s="7"/>
      <c r="AF406" s="7"/>
      <c r="AG406" s="7"/>
    </row>
    <row r="407" spans="1:33" ht="15.75" customHeight="1">
      <c r="A407" s="23"/>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row>
    <row r="408" spans="1:30" ht="15.75" customHeight="1">
      <c r="A408" s="23"/>
      <c r="B408" s="11"/>
      <c r="C408" s="116" t="s">
        <v>289</v>
      </c>
      <c r="D408" s="116"/>
      <c r="E408" s="116" t="s">
        <v>180</v>
      </c>
      <c r="F408" s="116" t="s">
        <v>311</v>
      </c>
      <c r="G408" s="155">
        <f>G377</f>
        <v>6.82</v>
      </c>
      <c r="H408" s="155"/>
      <c r="I408" s="155"/>
      <c r="J408" s="116" t="s">
        <v>312</v>
      </c>
      <c r="K408" s="120" t="s">
        <v>181</v>
      </c>
      <c r="L408" s="120"/>
      <c r="M408" s="17" t="s">
        <v>313</v>
      </c>
      <c r="N408" s="7"/>
      <c r="O408" s="7"/>
      <c r="P408" s="16"/>
      <c r="R408" s="116" t="str">
        <f>IF(AND(G409&lt;=V408,G408&lt;=V408),"≦","&gt;")</f>
        <v>≦</v>
      </c>
      <c r="S408" s="116" t="s">
        <v>257</v>
      </c>
      <c r="T408" s="116"/>
      <c r="U408" s="116" t="s">
        <v>180</v>
      </c>
      <c r="V408" s="155">
        <f>N348</f>
        <v>8.36</v>
      </c>
      <c r="W408" s="155"/>
      <c r="X408" s="155"/>
      <c r="Y408" s="120" t="s">
        <v>181</v>
      </c>
      <c r="Z408" s="120"/>
      <c r="AA408" s="198" t="s">
        <v>318</v>
      </c>
      <c r="AB408" s="198"/>
      <c r="AC408" s="123" t="str">
        <f>IF(AND(G409&lt;=V408,G408&lt;=V408),"OK","NG")</f>
        <v>OK</v>
      </c>
      <c r="AD408" s="123"/>
    </row>
    <row r="409" spans="1:30" ht="15.75" customHeight="1">
      <c r="A409" s="23"/>
      <c r="B409" s="7"/>
      <c r="C409" s="116"/>
      <c r="D409" s="116"/>
      <c r="E409" s="116"/>
      <c r="F409" s="116"/>
      <c r="G409" s="155">
        <f>G378</f>
        <v>2.82</v>
      </c>
      <c r="H409" s="155"/>
      <c r="I409" s="155"/>
      <c r="J409" s="116"/>
      <c r="K409" s="120"/>
      <c r="L409" s="120"/>
      <c r="M409" s="17" t="s">
        <v>314</v>
      </c>
      <c r="N409" s="7"/>
      <c r="O409" s="7"/>
      <c r="P409" s="16"/>
      <c r="R409" s="116"/>
      <c r="S409" s="116"/>
      <c r="T409" s="116"/>
      <c r="U409" s="116"/>
      <c r="V409" s="155"/>
      <c r="W409" s="155"/>
      <c r="X409" s="155"/>
      <c r="Y409" s="120"/>
      <c r="Z409" s="120"/>
      <c r="AA409" s="198"/>
      <c r="AB409" s="198"/>
      <c r="AC409" s="123"/>
      <c r="AD409" s="123"/>
    </row>
    <row r="410" spans="1:30" ht="15.75" customHeight="1">
      <c r="A410" s="23"/>
      <c r="B410" s="11"/>
      <c r="C410" s="11"/>
      <c r="D410" s="11"/>
      <c r="E410" s="11"/>
      <c r="F410" s="11"/>
      <c r="G410" s="11"/>
      <c r="H410" s="11"/>
      <c r="I410" s="11"/>
      <c r="J410" s="11"/>
      <c r="K410" s="11"/>
      <c r="L410" s="11"/>
      <c r="M410" s="11"/>
      <c r="N410" s="11"/>
      <c r="O410" s="11"/>
      <c r="P410" s="11"/>
      <c r="R410" s="11"/>
      <c r="S410" s="11"/>
      <c r="T410" s="11"/>
      <c r="U410" s="11"/>
      <c r="V410" s="11"/>
      <c r="W410" s="11"/>
      <c r="X410" s="11"/>
      <c r="Y410" s="11"/>
      <c r="Z410" s="11"/>
      <c r="AA410" s="11"/>
      <c r="AB410" s="11"/>
      <c r="AC410" s="11"/>
      <c r="AD410" s="11"/>
    </row>
    <row r="411" spans="1:30" ht="15.75" customHeight="1">
      <c r="A411" s="23" t="s">
        <v>319</v>
      </c>
      <c r="B411" s="7"/>
      <c r="D411" s="4"/>
      <c r="E411" s="4"/>
      <c r="F411" s="9"/>
      <c r="G411" s="9"/>
      <c r="H411" s="9"/>
      <c r="I411" s="9"/>
      <c r="J411" s="9"/>
      <c r="K411" s="9"/>
      <c r="L411" s="9"/>
      <c r="M411" s="9"/>
      <c r="N411" s="9"/>
      <c r="O411" s="9"/>
      <c r="P411" s="9"/>
      <c r="R411" s="4"/>
      <c r="S411" s="7"/>
      <c r="T411" s="7"/>
      <c r="U411" s="7"/>
      <c r="V411" s="7"/>
      <c r="W411" s="7"/>
      <c r="X411" s="7"/>
      <c r="Y411" s="7"/>
      <c r="Z411" s="7"/>
      <c r="AA411" s="7"/>
      <c r="AB411" s="7"/>
      <c r="AC411" s="7"/>
      <c r="AD411" s="7"/>
    </row>
    <row r="412" spans="1:30" ht="15.75" customHeight="1">
      <c r="A412" s="23"/>
      <c r="B412" s="11"/>
      <c r="C412" s="11"/>
      <c r="D412" s="11"/>
      <c r="E412" s="11"/>
      <c r="F412" s="11"/>
      <c r="G412" s="11"/>
      <c r="H412" s="11"/>
      <c r="I412" s="11"/>
      <c r="J412" s="11"/>
      <c r="K412" s="11"/>
      <c r="L412" s="11"/>
      <c r="M412" s="11"/>
      <c r="N412" s="11"/>
      <c r="O412" s="11"/>
      <c r="P412" s="11"/>
      <c r="R412" s="11"/>
      <c r="S412" s="11"/>
      <c r="T412" s="11"/>
      <c r="U412" s="11"/>
      <c r="V412" s="11"/>
      <c r="W412" s="11"/>
      <c r="X412" s="11"/>
      <c r="Y412" s="11"/>
      <c r="Z412" s="11"/>
      <c r="AA412" s="11"/>
      <c r="AB412" s="11"/>
      <c r="AC412" s="11"/>
      <c r="AD412" s="11"/>
    </row>
    <row r="413" spans="1:30" ht="15.75" customHeight="1">
      <c r="A413" s="23"/>
      <c r="B413" s="11"/>
      <c r="C413" s="116" t="s">
        <v>289</v>
      </c>
      <c r="D413" s="116"/>
      <c r="E413" s="116" t="s">
        <v>180</v>
      </c>
      <c r="F413" s="116" t="s">
        <v>311</v>
      </c>
      <c r="G413" s="155">
        <f>G397</f>
        <v>6.37</v>
      </c>
      <c r="H413" s="155"/>
      <c r="I413" s="155"/>
      <c r="J413" s="116" t="s">
        <v>312</v>
      </c>
      <c r="K413" s="120" t="s">
        <v>181</v>
      </c>
      <c r="L413" s="120"/>
      <c r="M413" s="17" t="s">
        <v>313</v>
      </c>
      <c r="N413" s="7"/>
      <c r="O413" s="7"/>
      <c r="P413" s="16"/>
      <c r="R413" s="116" t="str">
        <f>IF(AND(G414&lt;=V413,G413&lt;=V413),"≦","&gt;")</f>
        <v>≦</v>
      </c>
      <c r="S413" s="116" t="s">
        <v>257</v>
      </c>
      <c r="T413" s="116"/>
      <c r="U413" s="116" t="s">
        <v>180</v>
      </c>
      <c r="V413" s="155">
        <f>V408</f>
        <v>8.36</v>
      </c>
      <c r="W413" s="155"/>
      <c r="X413" s="155"/>
      <c r="Y413" s="120" t="s">
        <v>181</v>
      </c>
      <c r="Z413" s="120"/>
      <c r="AA413" s="198" t="s">
        <v>318</v>
      </c>
      <c r="AB413" s="198"/>
      <c r="AC413" s="123" t="str">
        <f>IF(AND(G414&lt;=V413,G413&lt;=V413),"OK","NG")</f>
        <v>OK</v>
      </c>
      <c r="AD413" s="123"/>
    </row>
    <row r="414" spans="1:30" ht="15.75" customHeight="1">
      <c r="A414" s="23"/>
      <c r="B414" s="7"/>
      <c r="C414" s="116"/>
      <c r="D414" s="116"/>
      <c r="E414" s="116"/>
      <c r="F414" s="116"/>
      <c r="G414" s="155">
        <f>G398</f>
        <v>1.09</v>
      </c>
      <c r="H414" s="155"/>
      <c r="I414" s="155"/>
      <c r="J414" s="116"/>
      <c r="K414" s="120"/>
      <c r="L414" s="120"/>
      <c r="M414" s="17" t="s">
        <v>314</v>
      </c>
      <c r="N414" s="7"/>
      <c r="O414" s="7"/>
      <c r="P414" s="16"/>
      <c r="R414" s="116"/>
      <c r="S414" s="116"/>
      <c r="T414" s="116"/>
      <c r="U414" s="116"/>
      <c r="V414" s="155"/>
      <c r="W414" s="155"/>
      <c r="X414" s="155"/>
      <c r="Y414" s="120"/>
      <c r="Z414" s="120"/>
      <c r="AA414" s="198"/>
      <c r="AB414" s="198"/>
      <c r="AC414" s="123"/>
      <c r="AD414" s="123"/>
    </row>
    <row r="415" spans="1:40" ht="15.75" customHeight="1">
      <c r="A415" s="23"/>
      <c r="B415" s="7"/>
      <c r="D415" s="4"/>
      <c r="E415" s="4"/>
      <c r="F415" s="4"/>
      <c r="G415" s="38"/>
      <c r="H415" s="38"/>
      <c r="I415" s="38"/>
      <c r="J415" s="4"/>
      <c r="M415" s="17"/>
      <c r="N415" s="7"/>
      <c r="O415" s="7"/>
      <c r="P415" s="16"/>
      <c r="Q415" s="4"/>
      <c r="R415" s="4"/>
      <c r="S415" s="4"/>
      <c r="T415" s="4"/>
      <c r="U415" s="38"/>
      <c r="V415" s="38"/>
      <c r="W415" s="38"/>
      <c r="Z415" s="9"/>
      <c r="AA415" s="9"/>
      <c r="AB415" s="7"/>
      <c r="AC415" s="7"/>
      <c r="AD415" s="7"/>
      <c r="AE415" s="7"/>
      <c r="AF415" s="7"/>
      <c r="AG415" s="7"/>
      <c r="AH415" s="7"/>
      <c r="AI415" s="7"/>
      <c r="AJ415" s="7"/>
      <c r="AK415" s="7"/>
      <c r="AL415" s="7"/>
      <c r="AM415" s="7"/>
      <c r="AN415" s="7"/>
    </row>
    <row r="416" spans="1:40" ht="15.75" customHeight="1">
      <c r="A416" s="23" t="s">
        <v>24</v>
      </c>
      <c r="B416" s="7"/>
      <c r="D416" s="4"/>
      <c r="E416" s="4"/>
      <c r="F416" s="4"/>
      <c r="G416" s="38"/>
      <c r="H416" s="38"/>
      <c r="I416" s="38"/>
      <c r="J416" s="4"/>
      <c r="M416" s="17"/>
      <c r="N416" s="7"/>
      <c r="O416" s="7"/>
      <c r="P416" s="16"/>
      <c r="Q416" s="4"/>
      <c r="R416" s="4"/>
      <c r="S416" s="4"/>
      <c r="T416" s="4"/>
      <c r="U416" s="38"/>
      <c r="V416" s="38"/>
      <c r="W416" s="38"/>
      <c r="Z416" s="9"/>
      <c r="AA416" s="9"/>
      <c r="AB416" s="7"/>
      <c r="AC416" s="7"/>
      <c r="AD416" s="7"/>
      <c r="AE416" s="7"/>
      <c r="AF416" s="7"/>
      <c r="AG416" s="7"/>
      <c r="AH416" s="7"/>
      <c r="AI416" s="7"/>
      <c r="AJ416" s="7"/>
      <c r="AK416" s="7"/>
      <c r="AL416" s="7"/>
      <c r="AM416" s="7"/>
      <c r="AN416" s="7"/>
    </row>
    <row r="417" spans="1:40" ht="15.75" customHeight="1">
      <c r="A417" s="23"/>
      <c r="B417" s="7"/>
      <c r="D417" s="4"/>
      <c r="E417" s="4"/>
      <c r="F417" s="4"/>
      <c r="G417" s="38"/>
      <c r="H417" s="38"/>
      <c r="I417" s="38"/>
      <c r="J417" s="4"/>
      <c r="M417" s="17"/>
      <c r="N417" s="7"/>
      <c r="O417" s="7"/>
      <c r="P417" s="16"/>
      <c r="Q417" s="4"/>
      <c r="R417" s="4"/>
      <c r="S417" s="4"/>
      <c r="T417" s="4"/>
      <c r="U417" s="38"/>
      <c r="V417" s="38"/>
      <c r="W417" s="38"/>
      <c r="Z417" s="9"/>
      <c r="AA417" s="9"/>
      <c r="AB417" s="7"/>
      <c r="AC417" s="7"/>
      <c r="AD417" s="7"/>
      <c r="AE417" s="7"/>
      <c r="AF417" s="7"/>
      <c r="AG417" s="7"/>
      <c r="AH417" s="7"/>
      <c r="AI417" s="7"/>
      <c r="AJ417" s="7"/>
      <c r="AK417" s="7"/>
      <c r="AL417" s="7"/>
      <c r="AM417" s="7"/>
      <c r="AN417" s="7"/>
    </row>
    <row r="418" spans="1:33" ht="15.75" customHeight="1">
      <c r="A418" s="23"/>
      <c r="B418" s="7" t="s">
        <v>320</v>
      </c>
      <c r="C418" s="7"/>
      <c r="D418" s="30"/>
      <c r="E418" s="7"/>
      <c r="F418" s="7"/>
      <c r="G418" s="30"/>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row>
    <row r="419" spans="1:33" ht="15.75" customHeight="1">
      <c r="A419" s="23"/>
      <c r="B419" s="7"/>
      <c r="C419" s="116" t="s">
        <v>321</v>
      </c>
      <c r="D419" s="116"/>
      <c r="E419" s="116" t="s">
        <v>180</v>
      </c>
      <c r="F419" s="118" t="s">
        <v>322</v>
      </c>
      <c r="G419" s="118"/>
      <c r="H419" s="118"/>
      <c r="I419" s="4"/>
      <c r="J419" s="116" t="s">
        <v>323</v>
      </c>
      <c r="K419" s="116"/>
      <c r="L419" s="116"/>
      <c r="M419" s="116"/>
      <c r="N419" s="123" t="s">
        <v>324</v>
      </c>
      <c r="O419" s="123"/>
      <c r="P419" s="123"/>
      <c r="Q419" s="123"/>
      <c r="R419" s="123"/>
      <c r="S419" s="123"/>
      <c r="T419" s="123"/>
      <c r="U419" s="7"/>
      <c r="V419" s="7"/>
      <c r="W419" s="7"/>
      <c r="X419" s="7"/>
      <c r="Y419" s="7"/>
      <c r="Z419" s="7"/>
      <c r="AA419" s="7"/>
      <c r="AB419" s="7"/>
      <c r="AC419" s="7"/>
      <c r="AD419" s="7"/>
      <c r="AE419" s="7"/>
      <c r="AF419" s="7"/>
      <c r="AG419" s="7"/>
    </row>
    <row r="420" spans="1:33" ht="15.75" customHeight="1">
      <c r="A420" s="23"/>
      <c r="B420" s="7"/>
      <c r="C420" s="116"/>
      <c r="D420" s="116"/>
      <c r="E420" s="116"/>
      <c r="F420" s="121" t="s">
        <v>325</v>
      </c>
      <c r="G420" s="121"/>
      <c r="H420" s="121"/>
      <c r="I420" s="4"/>
      <c r="J420" s="116"/>
      <c r="K420" s="116"/>
      <c r="L420" s="116"/>
      <c r="M420" s="116"/>
      <c r="N420" s="123"/>
      <c r="O420" s="123"/>
      <c r="P420" s="123"/>
      <c r="Q420" s="123"/>
      <c r="R420" s="123"/>
      <c r="S420" s="123"/>
      <c r="T420" s="123"/>
      <c r="U420" s="7"/>
      <c r="V420" s="7"/>
      <c r="W420" s="7"/>
      <c r="X420" s="7"/>
      <c r="Y420" s="7"/>
      <c r="Z420" s="7"/>
      <c r="AA420" s="7"/>
      <c r="AB420" s="7"/>
      <c r="AC420" s="7"/>
      <c r="AD420" s="7"/>
      <c r="AE420" s="7"/>
      <c r="AF420" s="7"/>
      <c r="AG420" s="7"/>
    </row>
    <row r="421" spans="1:33" ht="15.75" customHeight="1">
      <c r="A421" s="23"/>
      <c r="B421" s="7"/>
      <c r="D421" s="4"/>
      <c r="E421" s="4"/>
      <c r="F421" s="4"/>
      <c r="G421" s="4"/>
      <c r="H421" s="4"/>
      <c r="I421" s="4"/>
      <c r="J421" s="4"/>
      <c r="K421" s="4"/>
      <c r="L421" s="4"/>
      <c r="M421" s="4"/>
      <c r="N421" s="7"/>
      <c r="O421" s="7"/>
      <c r="P421" s="7"/>
      <c r="Q421" s="7"/>
      <c r="R421" s="7"/>
      <c r="S421" s="7"/>
      <c r="T421" s="7"/>
      <c r="U421" s="7"/>
      <c r="V421" s="7"/>
      <c r="W421" s="7"/>
      <c r="X421" s="7"/>
      <c r="Y421" s="7"/>
      <c r="Z421" s="7"/>
      <c r="AA421" s="7"/>
      <c r="AB421" s="7"/>
      <c r="AC421" s="7"/>
      <c r="AD421" s="7"/>
      <c r="AE421" s="7"/>
      <c r="AF421" s="7"/>
      <c r="AG421" s="7"/>
    </row>
    <row r="422" spans="1:40" ht="15.75" customHeight="1">
      <c r="A422" s="23"/>
      <c r="B422" s="7" t="s">
        <v>326</v>
      </c>
      <c r="D422" s="4"/>
      <c r="E422" s="4"/>
      <c r="F422" s="4"/>
      <c r="G422" s="38"/>
      <c r="H422" s="38"/>
      <c r="I422" s="38"/>
      <c r="J422" s="4"/>
      <c r="M422" s="17"/>
      <c r="N422" s="7"/>
      <c r="O422" s="7"/>
      <c r="P422" s="16"/>
      <c r="Q422" s="4"/>
      <c r="R422" s="4"/>
      <c r="S422" s="4"/>
      <c r="T422" s="4"/>
      <c r="U422" s="38"/>
      <c r="V422" s="38"/>
      <c r="W422" s="38"/>
      <c r="Z422" s="9"/>
      <c r="AA422" s="9"/>
      <c r="AB422" s="7"/>
      <c r="AC422" s="7"/>
      <c r="AD422" s="7"/>
      <c r="AE422" s="7"/>
      <c r="AF422" s="7"/>
      <c r="AG422" s="7"/>
      <c r="AH422" s="7"/>
      <c r="AI422" s="7"/>
      <c r="AJ422" s="7"/>
      <c r="AK422" s="7"/>
      <c r="AL422" s="7"/>
      <c r="AM422" s="7"/>
      <c r="AN422" s="7"/>
    </row>
    <row r="423" spans="1:40" ht="15.75" customHeight="1">
      <c r="A423" s="23"/>
      <c r="B423" s="7"/>
      <c r="C423" s="116" t="s">
        <v>327</v>
      </c>
      <c r="D423" s="116"/>
      <c r="E423" s="4" t="s">
        <v>180</v>
      </c>
      <c r="F423" s="7" t="s">
        <v>328</v>
      </c>
      <c r="G423" s="38"/>
      <c r="H423" s="38"/>
      <c r="I423" s="38"/>
      <c r="J423" s="4"/>
      <c r="M423" s="17"/>
      <c r="N423" s="7" t="s">
        <v>329</v>
      </c>
      <c r="O423" s="7"/>
      <c r="P423" s="16"/>
      <c r="Q423" s="4"/>
      <c r="R423" s="4"/>
      <c r="S423" s="4"/>
      <c r="T423" s="4"/>
      <c r="U423" s="38"/>
      <c r="V423" s="38"/>
      <c r="W423" s="38"/>
      <c r="Z423" s="9"/>
      <c r="AA423" s="9"/>
      <c r="AB423" s="7"/>
      <c r="AC423" s="7"/>
      <c r="AD423" s="7"/>
      <c r="AE423" s="7"/>
      <c r="AF423" s="7"/>
      <c r="AG423" s="7"/>
      <c r="AH423" s="7"/>
      <c r="AI423" s="7"/>
      <c r="AJ423" s="7"/>
      <c r="AK423" s="7"/>
      <c r="AL423" s="7"/>
      <c r="AM423" s="7"/>
      <c r="AN423" s="7"/>
    </row>
    <row r="424" spans="1:40" ht="15.75" customHeight="1">
      <c r="A424" s="23"/>
      <c r="B424" s="7"/>
      <c r="D424" s="4"/>
      <c r="E424" s="4"/>
      <c r="F424" s="4"/>
      <c r="G424" s="38"/>
      <c r="H424" s="38"/>
      <c r="I424" s="38"/>
      <c r="J424" s="4"/>
      <c r="M424" s="17"/>
      <c r="N424" s="7"/>
      <c r="O424" s="7"/>
      <c r="P424" s="16"/>
      <c r="Q424" s="4"/>
      <c r="R424" s="4"/>
      <c r="S424" s="4"/>
      <c r="T424" s="4"/>
      <c r="U424" s="38"/>
      <c r="V424" s="38"/>
      <c r="W424" s="38"/>
      <c r="Z424" s="9"/>
      <c r="AA424" s="9"/>
      <c r="AB424" s="7"/>
      <c r="AC424" s="7"/>
      <c r="AD424" s="7"/>
      <c r="AE424" s="7"/>
      <c r="AF424" s="7"/>
      <c r="AG424" s="7"/>
      <c r="AH424" s="7"/>
      <c r="AI424" s="7"/>
      <c r="AJ424" s="7"/>
      <c r="AK424" s="7"/>
      <c r="AL424" s="7"/>
      <c r="AM424" s="7"/>
      <c r="AN424" s="7"/>
    </row>
    <row r="425" spans="1:33" ht="15.75" customHeight="1">
      <c r="A425" s="23" t="s">
        <v>330</v>
      </c>
      <c r="B425" s="7"/>
      <c r="D425" s="4"/>
      <c r="E425" s="4"/>
      <c r="F425" s="9"/>
      <c r="G425" s="9"/>
      <c r="H425" s="9"/>
      <c r="I425" s="9"/>
      <c r="J425" s="9"/>
      <c r="K425" s="9"/>
      <c r="L425" s="9"/>
      <c r="M425" s="9"/>
      <c r="N425" s="9"/>
      <c r="O425" s="9"/>
      <c r="P425" s="9"/>
      <c r="Q425" s="4"/>
      <c r="R425" s="7"/>
      <c r="S425" s="7"/>
      <c r="T425" s="7"/>
      <c r="U425" s="7"/>
      <c r="V425" s="7"/>
      <c r="W425" s="7"/>
      <c r="X425" s="7"/>
      <c r="Y425" s="7"/>
      <c r="Z425" s="7"/>
      <c r="AA425" s="7"/>
      <c r="AB425" s="7"/>
      <c r="AC425" s="7"/>
      <c r="AD425" s="7"/>
      <c r="AE425" s="7"/>
      <c r="AF425" s="7"/>
      <c r="AG425" s="7"/>
    </row>
    <row r="426" spans="1:33" ht="15.75" customHeight="1">
      <c r="A426" s="23"/>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row>
    <row r="427" spans="2:54" ht="24" customHeight="1">
      <c r="B427" s="7"/>
      <c r="C427" s="199" t="s">
        <v>331</v>
      </c>
      <c r="D427" s="199"/>
      <c r="E427" s="199"/>
      <c r="F427" s="199"/>
      <c r="G427" s="199"/>
      <c r="H427" s="116" t="s">
        <v>332</v>
      </c>
      <c r="I427" s="116"/>
      <c r="J427" s="4" t="s">
        <v>180</v>
      </c>
      <c r="K427" s="155">
        <f>ROUND(K207,2)</f>
        <v>10</v>
      </c>
      <c r="L427" s="155"/>
      <c r="M427" s="155"/>
      <c r="N427" s="3" t="s">
        <v>233</v>
      </c>
      <c r="AK427" s="30"/>
      <c r="AL427" s="30"/>
      <c r="AM427" s="30"/>
      <c r="AN427" s="30"/>
      <c r="AO427" s="4"/>
      <c r="AP427" s="7"/>
      <c r="AQ427" s="4"/>
      <c r="AR427" s="4"/>
      <c r="AS427" s="4"/>
      <c r="AT427" s="4"/>
      <c r="AU427" s="30"/>
      <c r="AV427" s="30"/>
      <c r="AW427" s="4"/>
      <c r="AX427" s="7"/>
      <c r="AY427" s="4"/>
      <c r="AZ427" s="16"/>
      <c r="BA427" s="16"/>
      <c r="BB427" s="4"/>
    </row>
    <row r="428" spans="2:26" ht="24" customHeight="1">
      <c r="B428" s="7"/>
      <c r="C428" s="199" t="s">
        <v>219</v>
      </c>
      <c r="D428" s="199"/>
      <c r="E428" s="199"/>
      <c r="F428" s="199"/>
      <c r="G428" s="199"/>
      <c r="H428" s="116" t="s">
        <v>333</v>
      </c>
      <c r="I428" s="116"/>
      <c r="J428" s="4" t="s">
        <v>180</v>
      </c>
      <c r="K428" s="191">
        <f>Y203</f>
        <v>1.376</v>
      </c>
      <c r="L428" s="191"/>
      <c r="M428" s="191"/>
      <c r="N428" s="3" t="s">
        <v>248</v>
      </c>
      <c r="Z428" s="3"/>
    </row>
    <row r="429" spans="2:26" ht="24" customHeight="1">
      <c r="B429" s="7"/>
      <c r="C429" s="199" t="s">
        <v>334</v>
      </c>
      <c r="D429" s="199"/>
      <c r="E429" s="199"/>
      <c r="F429" s="199"/>
      <c r="G429" s="199"/>
      <c r="H429" s="116" t="s">
        <v>246</v>
      </c>
      <c r="I429" s="116"/>
      <c r="J429" s="4" t="s">
        <v>180</v>
      </c>
      <c r="K429" s="155">
        <f>N251</f>
        <v>18.19</v>
      </c>
      <c r="L429" s="155"/>
      <c r="M429" s="155"/>
      <c r="N429" s="3" t="s">
        <v>335</v>
      </c>
      <c r="Z429" s="3"/>
    </row>
    <row r="430" spans="2:26" ht="24" customHeight="1">
      <c r="B430" s="7"/>
      <c r="C430" s="199" t="s">
        <v>336</v>
      </c>
      <c r="D430" s="199"/>
      <c r="E430" s="199"/>
      <c r="F430" s="199"/>
      <c r="G430" s="199"/>
      <c r="H430" s="116" t="s">
        <v>337</v>
      </c>
      <c r="I430" s="116"/>
      <c r="J430" s="4" t="s">
        <v>180</v>
      </c>
      <c r="K430" s="155">
        <f>N58</f>
        <v>0</v>
      </c>
      <c r="L430" s="155"/>
      <c r="M430" s="155"/>
      <c r="N430" s="3" t="s">
        <v>338</v>
      </c>
      <c r="Z430" s="3"/>
    </row>
    <row r="431" spans="1:40" ht="24" customHeight="1">
      <c r="A431" s="23"/>
      <c r="B431" s="7"/>
      <c r="D431" s="4"/>
      <c r="E431" s="4"/>
      <c r="F431" s="4"/>
      <c r="G431" s="38"/>
      <c r="H431" s="38"/>
      <c r="I431" s="38"/>
      <c r="J431" s="4"/>
      <c r="M431" s="17"/>
      <c r="N431" s="7"/>
      <c r="O431" s="7"/>
      <c r="P431" s="16"/>
      <c r="Q431" s="4"/>
      <c r="R431" s="4"/>
      <c r="S431" s="4"/>
      <c r="T431" s="4"/>
      <c r="U431" s="38"/>
      <c r="V431" s="38"/>
      <c r="W431" s="38"/>
      <c r="Z431" s="9"/>
      <c r="AA431" s="9"/>
      <c r="AB431" s="7"/>
      <c r="AC431" s="38"/>
      <c r="AD431" s="38"/>
      <c r="AE431" s="38"/>
      <c r="AH431" s="7"/>
      <c r="AI431" s="7"/>
      <c r="AJ431" s="7"/>
      <c r="AK431" s="7"/>
      <c r="AL431" s="7"/>
      <c r="AM431" s="7"/>
      <c r="AN431" s="7"/>
    </row>
    <row r="432" spans="1:40" ht="15.75" customHeight="1">
      <c r="A432" s="23"/>
      <c r="B432" s="7" t="s">
        <v>339</v>
      </c>
      <c r="D432" s="4"/>
      <c r="E432" s="4"/>
      <c r="F432" s="4"/>
      <c r="G432" s="38"/>
      <c r="H432" s="38"/>
      <c r="I432" s="38"/>
      <c r="J432" s="4"/>
      <c r="M432" s="17"/>
      <c r="N432" s="7"/>
      <c r="O432" s="7"/>
      <c r="P432" s="16"/>
      <c r="Q432" s="4"/>
      <c r="R432" s="4"/>
      <c r="S432" s="4"/>
      <c r="T432" s="4"/>
      <c r="U432" s="38"/>
      <c r="V432" s="38"/>
      <c r="W432" s="38"/>
      <c r="Z432" s="9"/>
      <c r="AA432" s="9"/>
      <c r="AB432" s="7"/>
      <c r="AC432" s="7"/>
      <c r="AD432" s="7"/>
      <c r="AE432" s="7"/>
      <c r="AF432" s="7"/>
      <c r="AG432" s="7"/>
      <c r="AH432" s="7"/>
      <c r="AI432" s="7"/>
      <c r="AJ432" s="7"/>
      <c r="AK432" s="7"/>
      <c r="AL432" s="7"/>
      <c r="AM432" s="7"/>
      <c r="AN432" s="7"/>
    </row>
    <row r="433" spans="1:40" ht="15.75" customHeight="1">
      <c r="A433" s="23"/>
      <c r="B433" s="7"/>
      <c r="C433" s="116" t="s">
        <v>327</v>
      </c>
      <c r="D433" s="116"/>
      <c r="E433" s="4" t="s">
        <v>180</v>
      </c>
      <c r="F433" s="7" t="s">
        <v>328</v>
      </c>
      <c r="G433" s="38"/>
      <c r="H433" s="38"/>
      <c r="I433" s="38"/>
      <c r="J433" s="4"/>
      <c r="M433" s="17"/>
      <c r="N433" s="7"/>
      <c r="O433" s="7"/>
      <c r="P433" s="16"/>
      <c r="Q433" s="4"/>
      <c r="R433" s="4"/>
      <c r="S433" s="4"/>
      <c r="T433" s="4"/>
      <c r="U433" s="38"/>
      <c r="V433" s="38"/>
      <c r="W433" s="38"/>
      <c r="Z433" s="9"/>
      <c r="AA433" s="9"/>
      <c r="AB433" s="7"/>
      <c r="AC433" s="7"/>
      <c r="AD433" s="7"/>
      <c r="AE433" s="7"/>
      <c r="AF433" s="7"/>
      <c r="AG433" s="7"/>
      <c r="AH433" s="7"/>
      <c r="AI433" s="7"/>
      <c r="AJ433" s="7"/>
      <c r="AK433" s="7"/>
      <c r="AL433" s="7"/>
      <c r="AM433" s="7"/>
      <c r="AN433" s="7"/>
    </row>
    <row r="434" spans="1:40" ht="15.75" customHeight="1">
      <c r="A434" s="23"/>
      <c r="B434" s="7"/>
      <c r="D434" s="4"/>
      <c r="E434" s="4" t="s">
        <v>180</v>
      </c>
      <c r="F434" s="155">
        <f>K427</f>
        <v>10</v>
      </c>
      <c r="G434" s="155"/>
      <c r="H434" s="155"/>
      <c r="I434" s="12" t="s">
        <v>179</v>
      </c>
      <c r="J434" s="191">
        <f>K428</f>
        <v>1.376</v>
      </c>
      <c r="K434" s="191"/>
      <c r="L434" s="191"/>
      <c r="M434" s="12" t="s">
        <v>229</v>
      </c>
      <c r="N434" s="155">
        <f>K429</f>
        <v>18.19</v>
      </c>
      <c r="O434" s="155"/>
      <c r="P434" s="155"/>
      <c r="Q434" s="12" t="s">
        <v>179</v>
      </c>
      <c r="R434" s="116" t="s">
        <v>340</v>
      </c>
      <c r="S434" s="116"/>
      <c r="T434" s="155">
        <f>K430</f>
        <v>0</v>
      </c>
      <c r="U434" s="155"/>
      <c r="V434" s="155"/>
      <c r="W434" s="38" t="s">
        <v>341</v>
      </c>
      <c r="Z434" s="9"/>
      <c r="AA434" s="9"/>
      <c r="AB434" s="7"/>
      <c r="AC434" s="7"/>
      <c r="AD434" s="7"/>
      <c r="AE434" s="7"/>
      <c r="AF434" s="7"/>
      <c r="AG434" s="7"/>
      <c r="AH434" s="7"/>
      <c r="AI434" s="7"/>
      <c r="AJ434" s="7"/>
      <c r="AK434" s="7"/>
      <c r="AL434" s="7"/>
      <c r="AM434" s="7"/>
      <c r="AN434" s="7"/>
    </row>
    <row r="435" spans="1:40" ht="15.75" customHeight="1">
      <c r="A435" s="23"/>
      <c r="B435" s="7"/>
      <c r="D435" s="4"/>
      <c r="E435" s="4" t="s">
        <v>180</v>
      </c>
      <c r="F435" s="155">
        <f>ROUND(F434*J434+N434*TAN(T434*PI()/180),2)</f>
        <v>13.76</v>
      </c>
      <c r="G435" s="155"/>
      <c r="H435" s="155"/>
      <c r="I435" s="3" t="s">
        <v>335</v>
      </c>
      <c r="J435" s="4"/>
      <c r="M435" s="17"/>
      <c r="N435" s="7"/>
      <c r="O435" s="7"/>
      <c r="P435" s="16"/>
      <c r="Q435" s="4"/>
      <c r="R435" s="4"/>
      <c r="S435" s="4"/>
      <c r="T435" s="4"/>
      <c r="U435" s="38"/>
      <c r="V435" s="38"/>
      <c r="W435" s="38"/>
      <c r="Z435" s="9"/>
      <c r="AA435" s="9"/>
      <c r="AB435" s="7"/>
      <c r="AC435" s="7"/>
      <c r="AD435" s="7"/>
      <c r="AE435" s="7"/>
      <c r="AF435" s="7"/>
      <c r="AG435" s="7"/>
      <c r="AH435" s="7"/>
      <c r="AI435" s="7"/>
      <c r="AJ435" s="7"/>
      <c r="AK435" s="7"/>
      <c r="AL435" s="7"/>
      <c r="AM435" s="7"/>
      <c r="AN435" s="7"/>
    </row>
    <row r="436" spans="1:40" ht="15.75" customHeight="1">
      <c r="A436" s="23"/>
      <c r="B436" s="7"/>
      <c r="D436" s="4"/>
      <c r="E436" s="4"/>
      <c r="F436" s="38"/>
      <c r="G436" s="38"/>
      <c r="H436" s="38"/>
      <c r="J436" s="4"/>
      <c r="M436" s="17"/>
      <c r="N436" s="7"/>
      <c r="O436" s="7"/>
      <c r="P436" s="16"/>
      <c r="Q436" s="4"/>
      <c r="R436" s="4"/>
      <c r="S436" s="4"/>
      <c r="T436" s="4"/>
      <c r="U436" s="38"/>
      <c r="V436" s="38"/>
      <c r="W436" s="38"/>
      <c r="Z436" s="9"/>
      <c r="AA436" s="9"/>
      <c r="AB436" s="7"/>
      <c r="AC436" s="7"/>
      <c r="AD436" s="7"/>
      <c r="AE436" s="7"/>
      <c r="AF436" s="7"/>
      <c r="AG436" s="7"/>
      <c r="AH436" s="7"/>
      <c r="AI436" s="7"/>
      <c r="AJ436" s="7"/>
      <c r="AK436" s="7"/>
      <c r="AL436" s="7"/>
      <c r="AM436" s="7"/>
      <c r="AN436" s="7"/>
    </row>
    <row r="437" spans="1:40" ht="15.75" customHeight="1">
      <c r="A437" s="23"/>
      <c r="B437" s="7" t="s">
        <v>320</v>
      </c>
      <c r="D437" s="4"/>
      <c r="E437" s="4"/>
      <c r="F437" s="38"/>
      <c r="G437" s="38"/>
      <c r="H437" s="38"/>
      <c r="J437" s="4"/>
      <c r="M437" s="17"/>
      <c r="N437" s="7"/>
      <c r="O437" s="7"/>
      <c r="P437" s="16"/>
      <c r="Q437" s="4"/>
      <c r="R437" s="4"/>
      <c r="S437" s="4"/>
      <c r="T437" s="4"/>
      <c r="U437" s="38"/>
      <c r="V437" s="38"/>
      <c r="W437" s="38"/>
      <c r="Z437" s="9"/>
      <c r="AA437" s="9"/>
      <c r="AB437" s="7"/>
      <c r="AC437" s="7"/>
      <c r="AD437" s="7"/>
      <c r="AE437" s="7"/>
      <c r="AF437" s="7"/>
      <c r="AG437" s="7"/>
      <c r="AH437" s="7"/>
      <c r="AI437" s="7"/>
      <c r="AJ437" s="7"/>
      <c r="AK437" s="7"/>
      <c r="AL437" s="7"/>
      <c r="AM437" s="7"/>
      <c r="AN437" s="7"/>
    </row>
    <row r="438" spans="1:40" ht="15.75" customHeight="1">
      <c r="A438" s="23"/>
      <c r="B438" s="7"/>
      <c r="C438" s="116" t="s">
        <v>321</v>
      </c>
      <c r="D438" s="116"/>
      <c r="E438" s="116" t="s">
        <v>180</v>
      </c>
      <c r="F438" s="118" t="s">
        <v>322</v>
      </c>
      <c r="G438" s="118"/>
      <c r="H438" s="118"/>
      <c r="I438" s="116" t="s">
        <v>180</v>
      </c>
      <c r="J438" s="119">
        <f>F435</f>
        <v>13.76</v>
      </c>
      <c r="K438" s="119"/>
      <c r="L438" s="119"/>
      <c r="M438" s="116" t="s">
        <v>180</v>
      </c>
      <c r="N438" s="155">
        <f>ROUND(J438/J439,2)</f>
        <v>9.17</v>
      </c>
      <c r="O438" s="155"/>
      <c r="P438" s="155"/>
      <c r="Q438" s="120" t="s">
        <v>181</v>
      </c>
      <c r="R438" s="120"/>
      <c r="S438" s="4"/>
      <c r="T438" s="4"/>
      <c r="U438" s="38"/>
      <c r="V438" s="38"/>
      <c r="W438" s="38"/>
      <c r="Z438" s="9"/>
      <c r="AA438" s="9"/>
      <c r="AB438" s="7"/>
      <c r="AC438" s="7"/>
      <c r="AD438" s="7"/>
      <c r="AE438" s="7"/>
      <c r="AF438" s="7"/>
      <c r="AG438" s="7"/>
      <c r="AH438" s="7"/>
      <c r="AI438" s="7"/>
      <c r="AJ438" s="7"/>
      <c r="AK438" s="7"/>
      <c r="AL438" s="7"/>
      <c r="AM438" s="7"/>
      <c r="AN438" s="7"/>
    </row>
    <row r="439" spans="1:40" ht="15.75" customHeight="1">
      <c r="A439" s="23"/>
      <c r="B439" s="7"/>
      <c r="C439" s="116"/>
      <c r="D439" s="116"/>
      <c r="E439" s="116"/>
      <c r="F439" s="121" t="s">
        <v>325</v>
      </c>
      <c r="G439" s="121"/>
      <c r="H439" s="121"/>
      <c r="I439" s="116"/>
      <c r="J439" s="193">
        <v>1.5</v>
      </c>
      <c r="K439" s="193"/>
      <c r="L439" s="193"/>
      <c r="M439" s="116"/>
      <c r="N439" s="155"/>
      <c r="O439" s="155"/>
      <c r="P439" s="155"/>
      <c r="Q439" s="120"/>
      <c r="R439" s="120"/>
      <c r="S439" s="4"/>
      <c r="T439" s="4"/>
      <c r="U439" s="38"/>
      <c r="V439" s="38"/>
      <c r="W439" s="38"/>
      <c r="Z439" s="9"/>
      <c r="AA439" s="9"/>
      <c r="AB439" s="7"/>
      <c r="AC439" s="7"/>
      <c r="AD439" s="7"/>
      <c r="AE439" s="7"/>
      <c r="AF439" s="7"/>
      <c r="AG439" s="7"/>
      <c r="AH439" s="7"/>
      <c r="AI439" s="7"/>
      <c r="AJ439" s="7"/>
      <c r="AK439" s="7"/>
      <c r="AL439" s="7"/>
      <c r="AM439" s="7"/>
      <c r="AN439" s="7"/>
    </row>
    <row r="440" spans="1:40" ht="15.75" customHeight="1">
      <c r="A440" s="23"/>
      <c r="B440" s="7"/>
      <c r="D440" s="4"/>
      <c r="E440" s="4"/>
      <c r="F440" s="38"/>
      <c r="G440" s="38"/>
      <c r="H440" s="38"/>
      <c r="J440" s="4"/>
      <c r="M440" s="17"/>
      <c r="N440" s="7"/>
      <c r="O440" s="7"/>
      <c r="P440" s="16"/>
      <c r="Q440" s="4"/>
      <c r="R440" s="4"/>
      <c r="S440" s="4"/>
      <c r="T440" s="4"/>
      <c r="U440" s="38"/>
      <c r="V440" s="38"/>
      <c r="W440" s="38"/>
      <c r="Z440" s="9"/>
      <c r="AA440" s="9"/>
      <c r="AB440" s="7"/>
      <c r="AC440" s="7"/>
      <c r="AD440" s="7"/>
      <c r="AE440" s="7"/>
      <c r="AF440" s="7"/>
      <c r="AG440" s="7"/>
      <c r="AH440" s="7"/>
      <c r="AI440" s="7"/>
      <c r="AJ440" s="7"/>
      <c r="AK440" s="7"/>
      <c r="AL440" s="7"/>
      <c r="AM440" s="7"/>
      <c r="AN440" s="7"/>
    </row>
    <row r="441" spans="1:33" ht="15.75" customHeight="1">
      <c r="A441" s="23" t="s">
        <v>342</v>
      </c>
      <c r="B441" s="7"/>
      <c r="D441" s="4"/>
      <c r="E441" s="4"/>
      <c r="F441" s="9"/>
      <c r="G441" s="9"/>
      <c r="H441" s="9"/>
      <c r="I441" s="9"/>
      <c r="J441" s="9"/>
      <c r="K441" s="9"/>
      <c r="L441" s="9"/>
      <c r="M441" s="9"/>
      <c r="N441" s="9"/>
      <c r="O441" s="9"/>
      <c r="P441" s="9"/>
      <c r="Q441" s="4"/>
      <c r="R441" s="7"/>
      <c r="S441" s="7"/>
      <c r="T441" s="7"/>
      <c r="U441" s="7"/>
      <c r="V441" s="7"/>
      <c r="W441" s="7"/>
      <c r="X441" s="7"/>
      <c r="Y441" s="7"/>
      <c r="Z441" s="7"/>
      <c r="AA441" s="7"/>
      <c r="AB441" s="7"/>
      <c r="AC441" s="7"/>
      <c r="AD441" s="7"/>
      <c r="AE441" s="7"/>
      <c r="AF441" s="7"/>
      <c r="AG441" s="7"/>
    </row>
    <row r="442" spans="1:33" ht="15.75" customHeight="1">
      <c r="A442" s="23"/>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row>
    <row r="443" spans="2:54" ht="24" customHeight="1">
      <c r="B443" s="7"/>
      <c r="C443" s="199" t="s">
        <v>331</v>
      </c>
      <c r="D443" s="199"/>
      <c r="E443" s="199"/>
      <c r="F443" s="199"/>
      <c r="G443" s="199"/>
      <c r="H443" s="116" t="s">
        <v>332</v>
      </c>
      <c r="I443" s="116"/>
      <c r="J443" s="4" t="s">
        <v>180</v>
      </c>
      <c r="K443" s="155">
        <f>K265</f>
        <v>10</v>
      </c>
      <c r="L443" s="155"/>
      <c r="M443" s="155"/>
      <c r="N443" s="3" t="s">
        <v>233</v>
      </c>
      <c r="AK443" s="30"/>
      <c r="AL443" s="30"/>
      <c r="AM443" s="30"/>
      <c r="AN443" s="30"/>
      <c r="AO443" s="4"/>
      <c r="AP443" s="7"/>
      <c r="AQ443" s="4"/>
      <c r="AR443" s="4"/>
      <c r="AS443" s="4"/>
      <c r="AT443" s="4"/>
      <c r="AU443" s="30"/>
      <c r="AV443" s="30"/>
      <c r="AW443" s="4"/>
      <c r="AX443" s="7"/>
      <c r="AY443" s="4"/>
      <c r="AZ443" s="16"/>
      <c r="BA443" s="16"/>
      <c r="BB443" s="4"/>
    </row>
    <row r="444" spans="2:26" ht="24" customHeight="1">
      <c r="B444" s="7"/>
      <c r="C444" s="199" t="s">
        <v>219</v>
      </c>
      <c r="D444" s="199"/>
      <c r="E444" s="199"/>
      <c r="F444" s="199"/>
      <c r="G444" s="199"/>
      <c r="H444" s="116" t="s">
        <v>333</v>
      </c>
      <c r="I444" s="116"/>
      <c r="J444" s="4" t="s">
        <v>180</v>
      </c>
      <c r="K444" s="191">
        <f>Y261</f>
        <v>1.148</v>
      </c>
      <c r="L444" s="191"/>
      <c r="M444" s="191"/>
      <c r="N444" s="3" t="s">
        <v>248</v>
      </c>
      <c r="Z444" s="3"/>
    </row>
    <row r="445" spans="2:26" ht="24" customHeight="1">
      <c r="B445" s="7"/>
      <c r="C445" s="199" t="s">
        <v>334</v>
      </c>
      <c r="D445" s="199"/>
      <c r="E445" s="199"/>
      <c r="F445" s="199"/>
      <c r="G445" s="199"/>
      <c r="H445" s="116" t="s">
        <v>246</v>
      </c>
      <c r="I445" s="116"/>
      <c r="J445" s="4" t="s">
        <v>180</v>
      </c>
      <c r="K445" s="155">
        <f>N309</f>
        <v>13.96</v>
      </c>
      <c r="L445" s="155"/>
      <c r="M445" s="155"/>
      <c r="N445" s="3" t="s">
        <v>335</v>
      </c>
      <c r="Z445" s="3"/>
    </row>
    <row r="446" spans="2:26" ht="24" customHeight="1">
      <c r="B446" s="7"/>
      <c r="C446" s="199" t="s">
        <v>336</v>
      </c>
      <c r="D446" s="199"/>
      <c r="E446" s="199"/>
      <c r="F446" s="199"/>
      <c r="G446" s="199"/>
      <c r="H446" s="116" t="s">
        <v>337</v>
      </c>
      <c r="I446" s="116"/>
      <c r="J446" s="4" t="s">
        <v>180</v>
      </c>
      <c r="K446" s="155">
        <f>K430</f>
        <v>0</v>
      </c>
      <c r="L446" s="155"/>
      <c r="M446" s="155"/>
      <c r="N446" s="3" t="s">
        <v>338</v>
      </c>
      <c r="Z446" s="3"/>
    </row>
    <row r="447" spans="1:40" ht="15.75" customHeight="1">
      <c r="A447" s="23"/>
      <c r="B447" s="7"/>
      <c r="D447" s="4"/>
      <c r="E447" s="4"/>
      <c r="F447" s="4"/>
      <c r="G447" s="38"/>
      <c r="H447" s="38"/>
      <c r="I447" s="38"/>
      <c r="J447" s="4"/>
      <c r="M447" s="17"/>
      <c r="N447" s="7"/>
      <c r="O447" s="7"/>
      <c r="P447" s="16"/>
      <c r="Q447" s="4"/>
      <c r="R447" s="4"/>
      <c r="S447" s="4"/>
      <c r="T447" s="4"/>
      <c r="U447" s="38"/>
      <c r="V447" s="38"/>
      <c r="W447" s="38"/>
      <c r="Z447" s="9"/>
      <c r="AA447" s="9"/>
      <c r="AB447" s="7"/>
      <c r="AC447" s="38"/>
      <c r="AD447" s="38"/>
      <c r="AE447" s="38"/>
      <c r="AH447" s="7"/>
      <c r="AI447" s="7"/>
      <c r="AJ447" s="7"/>
      <c r="AK447" s="7"/>
      <c r="AL447" s="7"/>
      <c r="AM447" s="7"/>
      <c r="AN447" s="7"/>
    </row>
    <row r="448" spans="1:40" ht="15.75" customHeight="1">
      <c r="A448" s="23"/>
      <c r="B448" s="7" t="s">
        <v>339</v>
      </c>
      <c r="D448" s="4"/>
      <c r="E448" s="4"/>
      <c r="F448" s="4"/>
      <c r="G448" s="38"/>
      <c r="H448" s="38"/>
      <c r="I448" s="38"/>
      <c r="J448" s="4"/>
      <c r="M448" s="17"/>
      <c r="N448" s="7"/>
      <c r="O448" s="7"/>
      <c r="P448" s="16"/>
      <c r="Q448" s="4"/>
      <c r="R448" s="4"/>
      <c r="S448" s="4"/>
      <c r="T448" s="4"/>
      <c r="U448" s="38"/>
      <c r="V448" s="38"/>
      <c r="W448" s="38"/>
      <c r="Z448" s="9"/>
      <c r="AA448" s="9"/>
      <c r="AB448" s="7"/>
      <c r="AC448" s="7"/>
      <c r="AD448" s="7"/>
      <c r="AE448" s="7"/>
      <c r="AF448" s="7"/>
      <c r="AG448" s="7"/>
      <c r="AH448" s="7"/>
      <c r="AI448" s="7"/>
      <c r="AJ448" s="7"/>
      <c r="AK448" s="7"/>
      <c r="AL448" s="7"/>
      <c r="AM448" s="7"/>
      <c r="AN448" s="7"/>
    </row>
    <row r="449" spans="1:40" ht="15.75" customHeight="1">
      <c r="A449" s="23"/>
      <c r="B449" s="7"/>
      <c r="C449" s="116" t="s">
        <v>327</v>
      </c>
      <c r="D449" s="116"/>
      <c r="E449" s="4" t="s">
        <v>180</v>
      </c>
      <c r="F449" s="7" t="s">
        <v>328</v>
      </c>
      <c r="G449" s="38"/>
      <c r="H449" s="38"/>
      <c r="I449" s="38"/>
      <c r="J449" s="4"/>
      <c r="M449" s="17"/>
      <c r="N449" s="7"/>
      <c r="O449" s="7"/>
      <c r="P449" s="16"/>
      <c r="Q449" s="4"/>
      <c r="R449" s="4"/>
      <c r="S449" s="4"/>
      <c r="T449" s="4"/>
      <c r="U449" s="38"/>
      <c r="V449" s="38"/>
      <c r="W449" s="38"/>
      <c r="Z449" s="9"/>
      <c r="AA449" s="9"/>
      <c r="AB449" s="7"/>
      <c r="AC449" s="7"/>
      <c r="AD449" s="7"/>
      <c r="AE449" s="7"/>
      <c r="AF449" s="7"/>
      <c r="AG449" s="7"/>
      <c r="AH449" s="7"/>
      <c r="AI449" s="7"/>
      <c r="AJ449" s="7"/>
      <c r="AK449" s="7"/>
      <c r="AL449" s="7"/>
      <c r="AM449" s="7"/>
      <c r="AN449" s="7"/>
    </row>
    <row r="450" spans="1:40" ht="15.75" customHeight="1">
      <c r="A450" s="23"/>
      <c r="B450" s="7"/>
      <c r="D450" s="4"/>
      <c r="E450" s="4" t="s">
        <v>180</v>
      </c>
      <c r="F450" s="155">
        <f>K443</f>
        <v>10</v>
      </c>
      <c r="G450" s="155"/>
      <c r="H450" s="155"/>
      <c r="I450" s="12" t="s">
        <v>179</v>
      </c>
      <c r="J450" s="191">
        <f>K444</f>
        <v>1.148</v>
      </c>
      <c r="K450" s="191"/>
      <c r="L450" s="191"/>
      <c r="M450" s="12" t="s">
        <v>229</v>
      </c>
      <c r="N450" s="155">
        <f>K445</f>
        <v>13.96</v>
      </c>
      <c r="O450" s="155"/>
      <c r="P450" s="155"/>
      <c r="Q450" s="12" t="s">
        <v>179</v>
      </c>
      <c r="R450" s="116" t="s">
        <v>340</v>
      </c>
      <c r="S450" s="116"/>
      <c r="T450" s="155">
        <f>K446</f>
        <v>0</v>
      </c>
      <c r="U450" s="155"/>
      <c r="V450" s="155"/>
      <c r="W450" s="38" t="s">
        <v>341</v>
      </c>
      <c r="Z450" s="9"/>
      <c r="AA450" s="9"/>
      <c r="AB450" s="7"/>
      <c r="AC450" s="7"/>
      <c r="AD450" s="7"/>
      <c r="AE450" s="7"/>
      <c r="AF450" s="7"/>
      <c r="AG450" s="7"/>
      <c r="AH450" s="7"/>
      <c r="AI450" s="7"/>
      <c r="AJ450" s="7"/>
      <c r="AK450" s="7"/>
      <c r="AL450" s="7"/>
      <c r="AM450" s="7"/>
      <c r="AN450" s="7"/>
    </row>
    <row r="451" spans="1:40" ht="15.75" customHeight="1">
      <c r="A451" s="23"/>
      <c r="B451" s="7"/>
      <c r="D451" s="4"/>
      <c r="E451" s="4" t="s">
        <v>180</v>
      </c>
      <c r="F451" s="155">
        <f>ROUND(F450*J450+N450*TAN(T450*PI()/180),2)</f>
        <v>11.48</v>
      </c>
      <c r="G451" s="155"/>
      <c r="H451" s="155"/>
      <c r="I451" s="3" t="s">
        <v>335</v>
      </c>
      <c r="J451" s="4"/>
      <c r="M451" s="17"/>
      <c r="N451" s="7"/>
      <c r="O451" s="7"/>
      <c r="P451" s="16"/>
      <c r="Q451" s="4"/>
      <c r="R451" s="4"/>
      <c r="S451" s="4"/>
      <c r="T451" s="4"/>
      <c r="U451" s="38"/>
      <c r="V451" s="38"/>
      <c r="W451" s="38"/>
      <c r="Z451" s="9"/>
      <c r="AA451" s="9"/>
      <c r="AB451" s="7"/>
      <c r="AC451" s="7"/>
      <c r="AD451" s="7"/>
      <c r="AE451" s="7"/>
      <c r="AF451" s="7"/>
      <c r="AG451" s="7"/>
      <c r="AH451" s="7"/>
      <c r="AI451" s="7"/>
      <c r="AJ451" s="7"/>
      <c r="AK451" s="7"/>
      <c r="AL451" s="7"/>
      <c r="AM451" s="7"/>
      <c r="AN451" s="7"/>
    </row>
    <row r="452" spans="1:40" ht="15.75" customHeight="1">
      <c r="A452" s="23"/>
      <c r="B452" s="7"/>
      <c r="D452" s="4"/>
      <c r="E452" s="4"/>
      <c r="F452" s="38"/>
      <c r="G452" s="38"/>
      <c r="H452" s="38"/>
      <c r="J452" s="4"/>
      <c r="M452" s="17"/>
      <c r="N452" s="7"/>
      <c r="O452" s="7"/>
      <c r="P452" s="16"/>
      <c r="Q452" s="4"/>
      <c r="R452" s="4"/>
      <c r="S452" s="4"/>
      <c r="T452" s="4"/>
      <c r="U452" s="38"/>
      <c r="V452" s="38"/>
      <c r="W452" s="38"/>
      <c r="Z452" s="9"/>
      <c r="AA452" s="9"/>
      <c r="AB452" s="7"/>
      <c r="AC452" s="7"/>
      <c r="AD452" s="7"/>
      <c r="AE452" s="7"/>
      <c r="AF452" s="7"/>
      <c r="AG452" s="7"/>
      <c r="AH452" s="7"/>
      <c r="AI452" s="7"/>
      <c r="AJ452" s="7"/>
      <c r="AK452" s="7"/>
      <c r="AL452" s="7"/>
      <c r="AM452" s="7"/>
      <c r="AN452" s="7"/>
    </row>
    <row r="453" spans="1:40" ht="15.75" customHeight="1">
      <c r="A453" s="23"/>
      <c r="B453" s="7" t="s">
        <v>320</v>
      </c>
      <c r="D453" s="4"/>
      <c r="E453" s="4"/>
      <c r="F453" s="38"/>
      <c r="G453" s="38"/>
      <c r="H453" s="38"/>
      <c r="J453" s="4"/>
      <c r="M453" s="17"/>
      <c r="N453" s="7"/>
      <c r="O453" s="7"/>
      <c r="P453" s="16"/>
      <c r="Q453" s="4"/>
      <c r="R453" s="4"/>
      <c r="S453" s="4"/>
      <c r="T453" s="4"/>
      <c r="U453" s="38"/>
      <c r="V453" s="38"/>
      <c r="W453" s="38"/>
      <c r="Z453" s="9"/>
      <c r="AA453" s="9"/>
      <c r="AB453" s="7"/>
      <c r="AC453" s="7"/>
      <c r="AD453" s="7"/>
      <c r="AE453" s="7"/>
      <c r="AF453" s="7"/>
      <c r="AG453" s="7"/>
      <c r="AH453" s="7"/>
      <c r="AI453" s="7"/>
      <c r="AJ453" s="7"/>
      <c r="AK453" s="7"/>
      <c r="AL453" s="7"/>
      <c r="AM453" s="7"/>
      <c r="AN453" s="7"/>
    </row>
    <row r="454" spans="1:40" ht="15.75" customHeight="1">
      <c r="A454" s="23"/>
      <c r="B454" s="7"/>
      <c r="C454" s="116" t="s">
        <v>321</v>
      </c>
      <c r="D454" s="116"/>
      <c r="E454" s="116" t="s">
        <v>180</v>
      </c>
      <c r="F454" s="118" t="s">
        <v>322</v>
      </c>
      <c r="G454" s="118"/>
      <c r="H454" s="118"/>
      <c r="I454" s="116" t="s">
        <v>180</v>
      </c>
      <c r="J454" s="119">
        <f>F451</f>
        <v>11.48</v>
      </c>
      <c r="K454" s="119"/>
      <c r="L454" s="119"/>
      <c r="M454" s="116" t="s">
        <v>180</v>
      </c>
      <c r="N454" s="155">
        <f>ROUND(J454/J455,2)</f>
        <v>7.65</v>
      </c>
      <c r="O454" s="155"/>
      <c r="P454" s="155"/>
      <c r="Q454" s="120" t="s">
        <v>181</v>
      </c>
      <c r="R454" s="120"/>
      <c r="S454" s="4"/>
      <c r="T454" s="4"/>
      <c r="U454" s="38"/>
      <c r="V454" s="38"/>
      <c r="W454" s="38"/>
      <c r="Z454" s="9"/>
      <c r="AA454" s="9"/>
      <c r="AB454" s="7"/>
      <c r="AC454" s="7"/>
      <c r="AD454" s="7"/>
      <c r="AE454" s="7"/>
      <c r="AF454" s="7"/>
      <c r="AG454" s="7"/>
      <c r="AH454" s="7"/>
      <c r="AI454" s="7"/>
      <c r="AJ454" s="7"/>
      <c r="AK454" s="7"/>
      <c r="AL454" s="7"/>
      <c r="AM454" s="7"/>
      <c r="AN454" s="7"/>
    </row>
    <row r="455" spans="1:40" ht="15.75" customHeight="1">
      <c r="A455" s="23"/>
      <c r="B455" s="7"/>
      <c r="C455" s="116"/>
      <c r="D455" s="116"/>
      <c r="E455" s="116"/>
      <c r="F455" s="121" t="s">
        <v>325</v>
      </c>
      <c r="G455" s="121"/>
      <c r="H455" s="121"/>
      <c r="I455" s="116"/>
      <c r="J455" s="193">
        <f>J439</f>
        <v>1.5</v>
      </c>
      <c r="K455" s="193"/>
      <c r="L455" s="193"/>
      <c r="M455" s="116"/>
      <c r="N455" s="155"/>
      <c r="O455" s="155"/>
      <c r="P455" s="155"/>
      <c r="Q455" s="120"/>
      <c r="R455" s="120"/>
      <c r="S455" s="4"/>
      <c r="T455" s="4"/>
      <c r="U455" s="38"/>
      <c r="V455" s="38"/>
      <c r="W455" s="38"/>
      <c r="Z455" s="9"/>
      <c r="AA455" s="9"/>
      <c r="AB455" s="7"/>
      <c r="AC455" s="7"/>
      <c r="AD455" s="7"/>
      <c r="AE455" s="7"/>
      <c r="AF455" s="7"/>
      <c r="AG455" s="7"/>
      <c r="AH455" s="7"/>
      <c r="AI455" s="7"/>
      <c r="AJ455" s="7"/>
      <c r="AK455" s="7"/>
      <c r="AL455" s="7"/>
      <c r="AM455" s="7"/>
      <c r="AN455" s="7"/>
    </row>
    <row r="456" spans="1:40" ht="15.75" customHeight="1">
      <c r="A456" s="23"/>
      <c r="B456" s="7"/>
      <c r="D456" s="4"/>
      <c r="E456" s="4"/>
      <c r="F456" s="38"/>
      <c r="G456" s="38"/>
      <c r="H456" s="38"/>
      <c r="J456" s="4"/>
      <c r="M456" s="17"/>
      <c r="N456" s="7"/>
      <c r="O456" s="7"/>
      <c r="P456" s="16"/>
      <c r="Q456" s="4"/>
      <c r="R456" s="4"/>
      <c r="S456" s="4"/>
      <c r="T456" s="4"/>
      <c r="U456" s="38"/>
      <c r="V456" s="38"/>
      <c r="W456" s="38"/>
      <c r="Z456" s="9"/>
      <c r="AA456" s="9"/>
      <c r="AB456" s="7"/>
      <c r="AC456" s="7"/>
      <c r="AD456" s="7"/>
      <c r="AE456" s="7"/>
      <c r="AF456" s="7"/>
      <c r="AG456" s="7"/>
      <c r="AH456" s="7"/>
      <c r="AI456" s="7"/>
      <c r="AJ456" s="7"/>
      <c r="AK456" s="7"/>
      <c r="AL456" s="7"/>
      <c r="AM456" s="7"/>
      <c r="AN456" s="7"/>
    </row>
    <row r="457" spans="1:35" ht="15.75" customHeight="1">
      <c r="A457" s="23" t="s">
        <v>26</v>
      </c>
      <c r="B457" s="7"/>
      <c r="D457" s="4"/>
      <c r="E457" s="4"/>
      <c r="F457" s="38"/>
      <c r="G457" s="38"/>
      <c r="H457" s="38"/>
      <c r="J457" s="4"/>
      <c r="M457" s="17"/>
      <c r="N457" s="7"/>
      <c r="O457" s="7"/>
      <c r="P457" s="16"/>
      <c r="Q457" s="4"/>
      <c r="R457" s="4"/>
      <c r="S457" s="4"/>
      <c r="T457" s="4"/>
      <c r="U457" s="38"/>
      <c r="V457" s="38"/>
      <c r="W457" s="38"/>
      <c r="Z457" s="9"/>
      <c r="AA457" s="9"/>
      <c r="AB457" s="7"/>
      <c r="AC457" s="7"/>
      <c r="AD457" s="7"/>
      <c r="AE457" s="7"/>
      <c r="AF457" s="7"/>
      <c r="AG457" s="7"/>
      <c r="AH457" s="7"/>
      <c r="AI457" s="7"/>
    </row>
    <row r="458" spans="1:40" ht="15.75" customHeight="1">
      <c r="A458" s="23"/>
      <c r="B458" s="7"/>
      <c r="D458" s="4"/>
      <c r="E458" s="4"/>
      <c r="F458" s="38"/>
      <c r="G458" s="38"/>
      <c r="H458" s="38"/>
      <c r="J458" s="4"/>
      <c r="M458" s="17"/>
      <c r="N458" s="7"/>
      <c r="O458" s="7"/>
      <c r="P458" s="16"/>
      <c r="Q458" s="4"/>
      <c r="R458" s="4"/>
      <c r="S458" s="4"/>
      <c r="T458" s="4"/>
      <c r="U458" s="38"/>
      <c r="V458" s="38"/>
      <c r="W458" s="38"/>
      <c r="Z458" s="9"/>
      <c r="AA458" s="9"/>
      <c r="AB458" s="7"/>
      <c r="AC458" s="7"/>
      <c r="AD458" s="7"/>
      <c r="AE458" s="7"/>
      <c r="AF458" s="7"/>
      <c r="AG458" s="7"/>
      <c r="AH458" s="7"/>
      <c r="AI458" s="7"/>
      <c r="AJ458" s="7"/>
      <c r="AK458" s="7"/>
      <c r="AL458" s="7"/>
      <c r="AM458" s="7"/>
      <c r="AN458" s="7"/>
    </row>
    <row r="459" spans="1:34" ht="15.75" customHeight="1">
      <c r="A459" s="23" t="s">
        <v>343</v>
      </c>
      <c r="B459" s="7"/>
      <c r="D459" s="4"/>
      <c r="E459" s="4"/>
      <c r="F459" s="38"/>
      <c r="G459" s="38"/>
      <c r="H459" s="38"/>
      <c r="J459" s="4"/>
      <c r="M459" s="17"/>
      <c r="N459" s="7"/>
      <c r="O459" s="7"/>
      <c r="P459" s="16"/>
      <c r="Q459" s="4"/>
      <c r="R459" s="4"/>
      <c r="S459" s="4"/>
      <c r="T459" s="4"/>
      <c r="U459" s="38"/>
      <c r="V459" s="38"/>
      <c r="W459" s="38"/>
      <c r="Z459" s="9"/>
      <c r="AA459" s="9"/>
      <c r="AB459" s="7"/>
      <c r="AC459" s="7"/>
      <c r="AD459" s="7"/>
      <c r="AE459" s="7"/>
      <c r="AF459" s="7"/>
      <c r="AG459" s="7"/>
      <c r="AH459" s="7"/>
    </row>
    <row r="460" spans="1:34" ht="15.75" customHeight="1">
      <c r="A460" s="23"/>
      <c r="B460" s="7"/>
      <c r="D460" s="4"/>
      <c r="E460" s="4"/>
      <c r="F460" s="38"/>
      <c r="G460" s="38"/>
      <c r="H460" s="38"/>
      <c r="J460" s="4"/>
      <c r="M460" s="17"/>
      <c r="N460" s="7"/>
      <c r="O460" s="7"/>
      <c r="P460" s="16"/>
      <c r="Q460" s="4"/>
      <c r="R460" s="4"/>
      <c r="S460" s="4"/>
      <c r="T460" s="4"/>
      <c r="U460" s="38"/>
      <c r="V460" s="38"/>
      <c r="W460" s="38"/>
      <c r="Z460" s="9"/>
      <c r="AA460" s="9"/>
      <c r="AB460" s="7"/>
      <c r="AC460" s="7"/>
      <c r="AD460" s="7"/>
      <c r="AE460" s="7"/>
      <c r="AF460" s="7"/>
      <c r="AG460" s="7"/>
      <c r="AH460" s="7"/>
    </row>
    <row r="461" spans="1:34" ht="15.75" customHeight="1">
      <c r="A461" s="23"/>
      <c r="B461" s="7" t="s">
        <v>344</v>
      </c>
      <c r="D461" s="4"/>
      <c r="E461" s="4"/>
      <c r="F461" s="38"/>
      <c r="G461" s="38"/>
      <c r="H461" s="38"/>
      <c r="J461" s="4"/>
      <c r="M461" s="17"/>
      <c r="N461" s="7"/>
      <c r="O461" s="7"/>
      <c r="P461" s="16"/>
      <c r="Q461" s="4"/>
      <c r="R461" s="4"/>
      <c r="S461" s="4"/>
      <c r="T461" s="4"/>
      <c r="U461" s="38"/>
      <c r="V461" s="38"/>
      <c r="W461" s="38"/>
      <c r="Z461" s="9"/>
      <c r="AA461" s="9"/>
      <c r="AB461" s="7"/>
      <c r="AC461" s="7"/>
      <c r="AD461" s="7"/>
      <c r="AE461" s="7"/>
      <c r="AF461" s="7"/>
      <c r="AG461" s="7"/>
      <c r="AH461" s="7"/>
    </row>
    <row r="462" spans="1:34" ht="15.75" customHeight="1">
      <c r="A462" s="23"/>
      <c r="B462" s="7"/>
      <c r="C462" s="116" t="s">
        <v>345</v>
      </c>
      <c r="D462" s="116"/>
      <c r="E462" s="4" t="s">
        <v>180</v>
      </c>
      <c r="F462" s="7" t="s">
        <v>346</v>
      </c>
      <c r="G462" s="38"/>
      <c r="H462" s="38"/>
      <c r="J462" s="4" t="s">
        <v>180</v>
      </c>
      <c r="K462" s="155">
        <f>M160</f>
        <v>6.51</v>
      </c>
      <c r="L462" s="155"/>
      <c r="M462" s="155"/>
      <c r="N462" s="4" t="s">
        <v>185</v>
      </c>
      <c r="O462" s="155">
        <f>N438</f>
        <v>9.17</v>
      </c>
      <c r="P462" s="155"/>
      <c r="Q462" s="155"/>
      <c r="R462" s="4" t="s">
        <v>180</v>
      </c>
      <c r="S462" s="155">
        <f>IF(K462-O462&lt;0,0,ROUND(K462-O462,2))</f>
        <v>0</v>
      </c>
      <c r="T462" s="155"/>
      <c r="U462" s="155"/>
      <c r="V462" s="3" t="s">
        <v>335</v>
      </c>
      <c r="Z462" s="9"/>
      <c r="AA462" s="7" t="s">
        <v>347</v>
      </c>
      <c r="AB462" s="7"/>
      <c r="AC462" s="7"/>
      <c r="AD462" s="7"/>
      <c r="AE462" s="7"/>
      <c r="AF462" s="7"/>
      <c r="AG462" s="7"/>
      <c r="AH462" s="7"/>
    </row>
    <row r="463" spans="1:34" ht="15.75" customHeight="1">
      <c r="A463" s="23"/>
      <c r="B463" s="7"/>
      <c r="D463" s="4"/>
      <c r="E463" s="4"/>
      <c r="F463" s="38"/>
      <c r="G463" s="38"/>
      <c r="H463" s="38"/>
      <c r="J463" s="4"/>
      <c r="M463" s="17"/>
      <c r="N463" s="7"/>
      <c r="O463" s="7"/>
      <c r="P463" s="16"/>
      <c r="Q463" s="4"/>
      <c r="R463" s="4"/>
      <c r="S463" s="4"/>
      <c r="T463" s="4"/>
      <c r="U463" s="38"/>
      <c r="V463" s="38"/>
      <c r="W463" s="38"/>
      <c r="Z463" s="9"/>
      <c r="AB463" s="7"/>
      <c r="AC463" s="7"/>
      <c r="AD463" s="7"/>
      <c r="AE463" s="7"/>
      <c r="AF463" s="7"/>
      <c r="AG463" s="7"/>
      <c r="AH463" s="7"/>
    </row>
    <row r="464" spans="1:34" ht="15.75" customHeight="1">
      <c r="A464" s="23"/>
      <c r="B464" s="7" t="s">
        <v>348</v>
      </c>
      <c r="D464" s="4"/>
      <c r="E464" s="4"/>
      <c r="F464" s="38"/>
      <c r="G464" s="38"/>
      <c r="H464" s="38"/>
      <c r="J464" s="4"/>
      <c r="M464" s="17"/>
      <c r="N464" s="7"/>
      <c r="O464" s="7"/>
      <c r="P464" s="16"/>
      <c r="Q464" s="4"/>
      <c r="R464" s="4"/>
      <c r="S464" s="4"/>
      <c r="T464" s="4"/>
      <c r="U464" s="38"/>
      <c r="V464" s="38"/>
      <c r="W464" s="38"/>
      <c r="Z464" s="9"/>
      <c r="AA464" s="9"/>
      <c r="AB464" s="7"/>
      <c r="AC464" s="7"/>
      <c r="AD464" s="7"/>
      <c r="AE464" s="7"/>
      <c r="AF464" s="7"/>
      <c r="AG464" s="7"/>
      <c r="AH464" s="7"/>
    </row>
    <row r="465" spans="1:34" ht="15.75" customHeight="1">
      <c r="A465" s="23"/>
      <c r="B465" s="7"/>
      <c r="C465" s="116" t="s">
        <v>349</v>
      </c>
      <c r="D465" s="116"/>
      <c r="E465" s="116" t="s">
        <v>180</v>
      </c>
      <c r="F465" s="118" t="s">
        <v>345</v>
      </c>
      <c r="G465" s="118"/>
      <c r="H465" s="118"/>
      <c r="I465" s="116" t="s">
        <v>180</v>
      </c>
      <c r="J465" s="119">
        <f>S462</f>
        <v>0</v>
      </c>
      <c r="K465" s="119"/>
      <c r="L465" s="119"/>
      <c r="M465" s="116" t="s">
        <v>180</v>
      </c>
      <c r="N465" s="191">
        <f>ROUND(J465/J466,3)</f>
        <v>0</v>
      </c>
      <c r="O465" s="191"/>
      <c r="P465" s="191"/>
      <c r="Q465" s="120" t="s">
        <v>181</v>
      </c>
      <c r="R465" s="120"/>
      <c r="S465" s="4"/>
      <c r="T465" s="4"/>
      <c r="U465" s="38"/>
      <c r="V465" s="38"/>
      <c r="W465" s="38"/>
      <c r="AA465" s="200" t="s">
        <v>350</v>
      </c>
      <c r="AB465" s="200"/>
      <c r="AC465" s="200"/>
      <c r="AD465" s="200"/>
      <c r="AE465" s="200"/>
      <c r="AF465" s="200"/>
      <c r="AG465" s="7"/>
      <c r="AH465" s="7"/>
    </row>
    <row r="466" spans="1:34" ht="15.75" customHeight="1">
      <c r="A466" s="23"/>
      <c r="B466" s="7"/>
      <c r="C466" s="116"/>
      <c r="D466" s="116"/>
      <c r="E466" s="116"/>
      <c r="F466" s="121" t="s">
        <v>293</v>
      </c>
      <c r="G466" s="121"/>
      <c r="H466" s="121"/>
      <c r="I466" s="116"/>
      <c r="J466" s="194">
        <f>M364</f>
        <v>3</v>
      </c>
      <c r="K466" s="194"/>
      <c r="L466" s="194"/>
      <c r="M466" s="116"/>
      <c r="N466" s="191"/>
      <c r="O466" s="191"/>
      <c r="P466" s="191"/>
      <c r="Q466" s="120"/>
      <c r="R466" s="120"/>
      <c r="S466" s="4"/>
      <c r="T466" s="4"/>
      <c r="U466" s="38"/>
      <c r="V466" s="38"/>
      <c r="W466" s="38"/>
      <c r="AA466" s="200"/>
      <c r="AB466" s="200"/>
      <c r="AC466" s="200"/>
      <c r="AD466" s="200"/>
      <c r="AE466" s="200"/>
      <c r="AF466" s="200"/>
      <c r="AG466" s="7"/>
      <c r="AH466" s="7"/>
    </row>
    <row r="467" spans="1:40" ht="15.75" customHeight="1">
      <c r="A467" s="23"/>
      <c r="B467" s="7"/>
      <c r="D467" s="4"/>
      <c r="E467" s="4"/>
      <c r="F467" s="38"/>
      <c r="G467" s="38"/>
      <c r="H467" s="38"/>
      <c r="J467" s="4"/>
      <c r="M467" s="17"/>
      <c r="N467" s="7"/>
      <c r="O467" s="7"/>
      <c r="P467" s="16"/>
      <c r="Q467" s="4"/>
      <c r="R467" s="4"/>
      <c r="S467" s="4"/>
      <c r="T467" s="4"/>
      <c r="U467" s="38"/>
      <c r="V467" s="38"/>
      <c r="W467" s="38"/>
      <c r="AG467" s="7"/>
      <c r="AH467" s="7"/>
      <c r="AI467" s="7"/>
      <c r="AJ467" s="7"/>
      <c r="AK467" s="7"/>
      <c r="AL467" s="7"/>
      <c r="AM467" s="7"/>
      <c r="AN467" s="7"/>
    </row>
    <row r="468" spans="1:40" ht="15.75" customHeight="1">
      <c r="A468" s="23"/>
      <c r="B468" s="7" t="s">
        <v>351</v>
      </c>
      <c r="D468" s="4"/>
      <c r="E468" s="4"/>
      <c r="F468" s="38"/>
      <c r="G468" s="38"/>
      <c r="H468" s="38"/>
      <c r="J468" s="4"/>
      <c r="M468" s="17"/>
      <c r="N468" s="7"/>
      <c r="O468" s="7"/>
      <c r="P468" s="16"/>
      <c r="Q468" s="4"/>
      <c r="R468" s="4"/>
      <c r="S468" s="4"/>
      <c r="T468" s="4"/>
      <c r="U468" s="38"/>
      <c r="V468" s="38"/>
      <c r="W468" s="38"/>
      <c r="AG468" s="7"/>
      <c r="AH468" s="7"/>
      <c r="AI468" s="7"/>
      <c r="AJ468" s="7"/>
      <c r="AK468" s="7"/>
      <c r="AL468" s="7"/>
      <c r="AM468" s="7"/>
      <c r="AN468" s="7"/>
    </row>
    <row r="469" spans="1:40" ht="15.75" customHeight="1">
      <c r="A469" s="23"/>
      <c r="B469" s="7"/>
      <c r="C469" s="116" t="s">
        <v>352</v>
      </c>
      <c r="D469" s="116"/>
      <c r="E469" s="116" t="s">
        <v>180</v>
      </c>
      <c r="F469" s="201" t="s">
        <v>353</v>
      </c>
      <c r="G469" s="201"/>
      <c r="H469" s="201"/>
      <c r="I469" s="118" t="s">
        <v>349</v>
      </c>
      <c r="J469" s="118"/>
      <c r="K469" s="118"/>
      <c r="M469" s="17"/>
      <c r="N469" s="7"/>
      <c r="O469" s="7"/>
      <c r="P469" s="16"/>
      <c r="Q469" s="4"/>
      <c r="R469" s="4"/>
      <c r="S469" s="4"/>
      <c r="T469" s="4"/>
      <c r="U469" s="38"/>
      <c r="V469" s="38"/>
      <c r="W469" s="38"/>
      <c r="AA469" s="200" t="s">
        <v>354</v>
      </c>
      <c r="AB469" s="200"/>
      <c r="AC469" s="200"/>
      <c r="AD469" s="200"/>
      <c r="AE469" s="200"/>
      <c r="AF469" s="200"/>
      <c r="AG469" s="7"/>
      <c r="AH469" s="7"/>
      <c r="AI469" s="7"/>
      <c r="AJ469" s="7"/>
      <c r="AK469" s="7"/>
      <c r="AL469" s="7"/>
      <c r="AM469" s="7"/>
      <c r="AN469" s="7"/>
    </row>
    <row r="470" spans="1:40" ht="15.75" customHeight="1">
      <c r="A470" s="23"/>
      <c r="B470" s="7"/>
      <c r="C470" s="116"/>
      <c r="D470" s="116"/>
      <c r="E470" s="116"/>
      <c r="F470" s="201"/>
      <c r="G470" s="201"/>
      <c r="H470" s="201"/>
      <c r="I470" s="121" t="s">
        <v>355</v>
      </c>
      <c r="J470" s="121"/>
      <c r="K470" s="121"/>
      <c r="M470" s="17"/>
      <c r="N470" s="7"/>
      <c r="O470" s="7"/>
      <c r="P470" s="16"/>
      <c r="Q470" s="4"/>
      <c r="R470" s="4"/>
      <c r="S470" s="4"/>
      <c r="T470" s="4"/>
      <c r="U470" s="38"/>
      <c r="V470" s="38"/>
      <c r="W470" s="38"/>
      <c r="AA470" s="200"/>
      <c r="AB470" s="200"/>
      <c r="AC470" s="200"/>
      <c r="AD470" s="200"/>
      <c r="AE470" s="200"/>
      <c r="AF470" s="200"/>
      <c r="AG470" s="7"/>
      <c r="AH470" s="7"/>
      <c r="AI470" s="7"/>
      <c r="AJ470" s="7"/>
      <c r="AK470" s="7"/>
      <c r="AL470" s="7"/>
      <c r="AM470" s="7"/>
      <c r="AN470" s="7"/>
    </row>
    <row r="471" spans="1:36" ht="15.75" customHeight="1">
      <c r="A471" s="23"/>
      <c r="B471" s="7"/>
      <c r="C471" s="7"/>
      <c r="D471" s="7"/>
      <c r="E471" s="7"/>
      <c r="F471" s="7"/>
      <c r="G471" s="16"/>
      <c r="H471" s="16"/>
      <c r="I471" s="16"/>
      <c r="J471" s="7"/>
      <c r="M471" s="17"/>
      <c r="N471" s="7"/>
      <c r="O471" s="7"/>
      <c r="P471" s="16"/>
      <c r="Q471" s="4"/>
      <c r="R471" s="4"/>
      <c r="S471" s="4"/>
      <c r="T471" s="4"/>
      <c r="U471" s="38"/>
      <c r="V471" s="38"/>
      <c r="W471" s="38"/>
      <c r="Z471" s="9"/>
      <c r="AA471" s="9"/>
      <c r="AB471" s="7"/>
      <c r="AC471" s="7"/>
      <c r="AD471" s="7"/>
      <c r="AE471" s="7"/>
      <c r="AF471" s="7"/>
      <c r="AG471" s="7"/>
      <c r="AH471" s="7"/>
      <c r="AI471" s="7"/>
      <c r="AJ471" s="7"/>
    </row>
    <row r="472" spans="1:36" ht="15.75" customHeight="1">
      <c r="A472" s="23"/>
      <c r="B472" s="188" t="s">
        <v>356</v>
      </c>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7"/>
      <c r="AI472" s="7"/>
      <c r="AJ472" s="7"/>
    </row>
    <row r="473" spans="1:56" ht="15.75" customHeight="1">
      <c r="A473" s="23"/>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7"/>
      <c r="AI473" s="7"/>
      <c r="AJ473" s="7">
        <v>1</v>
      </c>
      <c r="AK473" s="21"/>
      <c r="AL473" s="21"/>
      <c r="AP473" s="30">
        <v>0.1</v>
      </c>
      <c r="AQ473" s="21"/>
      <c r="AR473" s="21"/>
      <c r="AV473" s="16">
        <v>0.01</v>
      </c>
      <c r="AW473" s="21"/>
      <c r="AX473" s="21"/>
      <c r="BB473" s="16">
        <v>0.001</v>
      </c>
      <c r="BC473" s="21"/>
      <c r="BD473" s="21"/>
    </row>
    <row r="474" spans="1:61" ht="15.75" customHeight="1">
      <c r="A474" s="23"/>
      <c r="B474" s="7"/>
      <c r="C474" s="116" t="s">
        <v>355</v>
      </c>
      <c r="D474" s="116"/>
      <c r="E474" s="4" t="s">
        <v>180</v>
      </c>
      <c r="F474" s="202">
        <f>BG495</f>
        <v>1.3959999999999995</v>
      </c>
      <c r="G474" s="202"/>
      <c r="H474" s="202"/>
      <c r="I474" s="116" t="s">
        <v>357</v>
      </c>
      <c r="J474" s="116"/>
      <c r="K474" s="7"/>
      <c r="W474" s="38"/>
      <c r="X474" s="38"/>
      <c r="Y474" s="9"/>
      <c r="Z474" s="9"/>
      <c r="AA474" s="7"/>
      <c r="AB474" s="7"/>
      <c r="AC474" s="7"/>
      <c r="AD474" s="7"/>
      <c r="AE474" s="7"/>
      <c r="AF474" s="7"/>
      <c r="AG474" s="7"/>
      <c r="AH474" s="7"/>
      <c r="AI474" s="7"/>
      <c r="AJ474" s="7" t="s">
        <v>358</v>
      </c>
      <c r="AK474" s="7" t="s">
        <v>359</v>
      </c>
      <c r="AL474" s="7" t="s">
        <v>360</v>
      </c>
      <c r="AM474" s="7" t="s">
        <v>361</v>
      </c>
      <c r="AN474" s="7" t="s">
        <v>362</v>
      </c>
      <c r="AO474" s="7" t="s">
        <v>358</v>
      </c>
      <c r="AP474" s="7" t="s">
        <v>358</v>
      </c>
      <c r="AQ474" s="7" t="s">
        <v>359</v>
      </c>
      <c r="AR474" s="7" t="s">
        <v>360</v>
      </c>
      <c r="AS474" s="7" t="s">
        <v>361</v>
      </c>
      <c r="AT474" s="7" t="s">
        <v>362</v>
      </c>
      <c r="AU474" s="7" t="s">
        <v>358</v>
      </c>
      <c r="AV474" s="7" t="s">
        <v>358</v>
      </c>
      <c r="AW474" s="7" t="s">
        <v>359</v>
      </c>
      <c r="AX474" s="7" t="s">
        <v>360</v>
      </c>
      <c r="AY474" s="7" t="s">
        <v>361</v>
      </c>
      <c r="AZ474" s="7" t="s">
        <v>362</v>
      </c>
      <c r="BA474" s="7" t="s">
        <v>358</v>
      </c>
      <c r="BB474" s="7" t="s">
        <v>358</v>
      </c>
      <c r="BC474" s="7" t="s">
        <v>359</v>
      </c>
      <c r="BD474" s="7" t="s">
        <v>360</v>
      </c>
      <c r="BE474" s="7" t="s">
        <v>361</v>
      </c>
      <c r="BF474" s="7" t="s">
        <v>362</v>
      </c>
      <c r="BG474" s="7" t="s">
        <v>358</v>
      </c>
      <c r="BH474" s="7"/>
      <c r="BI474" s="7"/>
    </row>
    <row r="475" spans="1:61" ht="15.75" customHeight="1">
      <c r="A475" s="23"/>
      <c r="B475" s="7"/>
      <c r="C475" s="7"/>
      <c r="D475" s="7"/>
      <c r="G475" s="3"/>
      <c r="I475" s="7"/>
      <c r="J475" s="7"/>
      <c r="K475" s="7"/>
      <c r="W475" s="38"/>
      <c r="X475" s="38"/>
      <c r="Y475" s="9"/>
      <c r="Z475" s="9"/>
      <c r="AA475" s="7"/>
      <c r="AB475" s="7"/>
      <c r="AC475" s="7"/>
      <c r="AD475" s="7"/>
      <c r="AE475" s="7"/>
      <c r="AF475" s="7"/>
      <c r="AG475" s="7"/>
      <c r="AH475" s="7"/>
      <c r="AI475" s="7"/>
      <c r="AJ475" s="7">
        <v>1</v>
      </c>
      <c r="AK475" s="27">
        <f aca="true" t="shared" si="0" ref="AK475:AK494">ROUND(($N$483/AJ475)^(1/2),3)</f>
        <v>0.374</v>
      </c>
      <c r="AL475" s="17">
        <f aca="true" t="shared" si="1" ref="AL475:AL494">ROUND($F$490*(AK475/$K$491)^(-3/4),0)</f>
        <v>12657</v>
      </c>
      <c r="AM475" s="27">
        <f aca="true" t="shared" si="2" ref="AM475:AM494">ROUND((AL475*$N$500/($H$501*$J$501*$O$501))^(1/4),3)</f>
        <v>1.353</v>
      </c>
      <c r="AN475" s="27">
        <f aca="true" t="shared" si="3" ref="AN475:AN494">ABS(AM475-AJ475)</f>
        <v>0.353</v>
      </c>
      <c r="AO475" s="7">
        <f aca="true" t="shared" si="4" ref="AO475:AO494">AJ475</f>
        <v>1</v>
      </c>
      <c r="AP475" s="30">
        <f>AO495-1*AJ473+AP473</f>
        <v>0.1</v>
      </c>
      <c r="AQ475" s="27">
        <f aca="true" t="shared" si="5" ref="AQ475:AQ494">ROUND(($N$483/AP475)^(1/2),3)</f>
        <v>1.183</v>
      </c>
      <c r="AR475" s="17">
        <f aca="true" t="shared" si="6" ref="AR475:AR494">ROUND($F$490*(AQ475/$K$491)^(-3/4),0)</f>
        <v>5336</v>
      </c>
      <c r="AS475" s="27">
        <f aca="true" t="shared" si="7" ref="AS475:AS494">ROUND((AR475*$N$500/($H$501*$J$501*$O$501))^(1/4),3)</f>
        <v>1.091</v>
      </c>
      <c r="AT475" s="27">
        <f aca="true" t="shared" si="8" ref="AT475:AT494">ABS(AS475-AP475)</f>
        <v>0.991</v>
      </c>
      <c r="AU475" s="30">
        <f aca="true" t="shared" si="9" ref="AU475:AU494">AP475</f>
        <v>0.1</v>
      </c>
      <c r="AV475" s="16">
        <f>AU495-1*AP473+AV473</f>
        <v>1.31</v>
      </c>
      <c r="AW475" s="27">
        <f aca="true" t="shared" si="10" ref="AW475:AW494">ROUND(($N$483/AV475)^(1/2),3)</f>
        <v>0.327</v>
      </c>
      <c r="AX475" s="17">
        <f aca="true" t="shared" si="11" ref="AX475:AX494">ROUND($F$490*(AW475/$K$491)^(-3/4),0)</f>
        <v>13998</v>
      </c>
      <c r="AY475" s="27">
        <f aca="true" t="shared" si="12" ref="AY475:AY494">ROUND((AX475*$N$500/($H$501*$J$501*$O$501))^(1/4),3)</f>
        <v>1.388</v>
      </c>
      <c r="AZ475" s="27">
        <f aca="true" t="shared" si="13" ref="AZ475:AZ494">ABS(AY475-AV475)</f>
        <v>0.07799999999999985</v>
      </c>
      <c r="BA475" s="16">
        <f aca="true" t="shared" si="14" ref="BA475:BA494">AV475</f>
        <v>1.31</v>
      </c>
      <c r="BB475" s="27">
        <f>BA495-1*AV473+BB473</f>
        <v>1.391</v>
      </c>
      <c r="BC475" s="27">
        <f aca="true" t="shared" si="15" ref="BC475:BC494">ROUND(($N$483/BB475)^(1/2),3)</f>
        <v>0.317</v>
      </c>
      <c r="BD475" s="17">
        <f aca="true" t="shared" si="16" ref="BD475:BD494">ROUND($F$490*(BC475/$K$491)^(-3/4),0)</f>
        <v>14328</v>
      </c>
      <c r="BE475" s="27">
        <f aca="true" t="shared" si="17" ref="BE475:BE494">ROUND((BD475*$N$500/($H$501*$J$501*$O$501))^(1/4),3)</f>
        <v>1.396</v>
      </c>
      <c r="BF475" s="27">
        <f aca="true" t="shared" si="18" ref="BF475:BF494">ABS(BE475-BB475)</f>
        <v>0.004999999999999893</v>
      </c>
      <c r="BG475" s="27">
        <f>BB475</f>
        <v>1.391</v>
      </c>
      <c r="BH475" s="27"/>
      <c r="BI475" s="27"/>
    </row>
    <row r="476" spans="1:61" ht="15.75" customHeight="1">
      <c r="A476" s="23"/>
      <c r="B476" s="7" t="s">
        <v>363</v>
      </c>
      <c r="C476" s="7"/>
      <c r="D476" s="7"/>
      <c r="G476" s="3"/>
      <c r="W476" s="38"/>
      <c r="X476" s="38"/>
      <c r="Y476" s="9"/>
      <c r="Z476" s="9"/>
      <c r="AA476" s="7"/>
      <c r="AB476" s="7"/>
      <c r="AC476" s="7"/>
      <c r="AD476" s="7"/>
      <c r="AE476" s="7"/>
      <c r="AF476" s="7"/>
      <c r="AG476" s="7"/>
      <c r="AH476" s="7"/>
      <c r="AI476" s="7"/>
      <c r="AJ476" s="7">
        <f aca="true" t="shared" si="19" ref="AJ476:AJ494">AJ475+1*$AJ$473</f>
        <v>2</v>
      </c>
      <c r="AK476" s="27">
        <f t="shared" si="0"/>
        <v>0.265</v>
      </c>
      <c r="AL476" s="17">
        <f t="shared" si="1"/>
        <v>16389</v>
      </c>
      <c r="AM476" s="27">
        <f t="shared" si="2"/>
        <v>1.444</v>
      </c>
      <c r="AN476" s="27">
        <f t="shared" si="3"/>
        <v>0.556</v>
      </c>
      <c r="AO476" s="7">
        <f t="shared" si="4"/>
        <v>2</v>
      </c>
      <c r="AP476" s="30">
        <f>AP475+1*$AP$473</f>
        <v>0.2</v>
      </c>
      <c r="AQ476" s="27">
        <f t="shared" si="5"/>
        <v>0.837</v>
      </c>
      <c r="AR476" s="17">
        <f t="shared" si="6"/>
        <v>6917</v>
      </c>
      <c r="AS476" s="27">
        <f t="shared" si="7"/>
        <v>1.164</v>
      </c>
      <c r="AT476" s="27">
        <f t="shared" si="8"/>
        <v>0.964</v>
      </c>
      <c r="AU476" s="30">
        <f t="shared" si="9"/>
        <v>0.2</v>
      </c>
      <c r="AV476" s="16">
        <f>AV475+1*$AV$473</f>
        <v>1.32</v>
      </c>
      <c r="AW476" s="27">
        <f t="shared" si="10"/>
        <v>0.326</v>
      </c>
      <c r="AX476" s="17">
        <f t="shared" si="11"/>
        <v>14031</v>
      </c>
      <c r="AY476" s="27">
        <f t="shared" si="12"/>
        <v>1.389</v>
      </c>
      <c r="AZ476" s="27">
        <f t="shared" si="13"/>
        <v>0.06899999999999995</v>
      </c>
      <c r="BA476" s="16">
        <f t="shared" si="14"/>
        <v>1.32</v>
      </c>
      <c r="BB476" s="27">
        <f>BB475+1*$BB$473</f>
        <v>1.392</v>
      </c>
      <c r="BC476" s="27">
        <f t="shared" si="15"/>
        <v>0.317</v>
      </c>
      <c r="BD476" s="17">
        <f t="shared" si="16"/>
        <v>14328</v>
      </c>
      <c r="BE476" s="27">
        <f t="shared" si="17"/>
        <v>1.396</v>
      </c>
      <c r="BF476" s="27">
        <f t="shared" si="18"/>
        <v>0.0040000000000000036</v>
      </c>
      <c r="BG476" s="27">
        <f aca="true" t="shared" si="20" ref="BG476:BG494">BB476</f>
        <v>1.392</v>
      </c>
      <c r="BH476" s="27"/>
      <c r="BI476" s="27"/>
    </row>
    <row r="477" spans="1:61" ht="15.75" customHeight="1">
      <c r="A477" s="23"/>
      <c r="B477" s="7"/>
      <c r="C477" s="116" t="s">
        <v>364</v>
      </c>
      <c r="D477" s="116"/>
      <c r="E477" s="116" t="s">
        <v>180</v>
      </c>
      <c r="F477" s="118">
        <v>1</v>
      </c>
      <c r="G477" s="118"/>
      <c r="H477" s="123" t="s">
        <v>365</v>
      </c>
      <c r="I477" s="123"/>
      <c r="J477" s="123"/>
      <c r="K477" s="116" t="s">
        <v>180</v>
      </c>
      <c r="L477" s="118">
        <v>1</v>
      </c>
      <c r="M477" s="118"/>
      <c r="N477" s="116" t="s">
        <v>249</v>
      </c>
      <c r="O477" s="116">
        <f>R479</f>
        <v>1</v>
      </c>
      <c r="P477" s="116" t="s">
        <v>249</v>
      </c>
      <c r="Q477" s="195">
        <f>R480</f>
        <v>4480</v>
      </c>
      <c r="R477" s="195"/>
      <c r="S477" s="195"/>
      <c r="T477" s="116" t="s">
        <v>180</v>
      </c>
      <c r="U477" s="123">
        <f>ROUND(1/0.3*R479*R480,0)</f>
        <v>14933</v>
      </c>
      <c r="V477" s="123"/>
      <c r="W477" s="123"/>
      <c r="X477" s="123" t="s">
        <v>241</v>
      </c>
      <c r="Y477" s="123"/>
      <c r="Z477" s="123"/>
      <c r="AA477" s="200" t="s">
        <v>366</v>
      </c>
      <c r="AB477" s="200"/>
      <c r="AC477" s="200"/>
      <c r="AD477" s="200"/>
      <c r="AE477" s="200"/>
      <c r="AF477" s="200"/>
      <c r="AJ477" s="7">
        <f t="shared" si="19"/>
        <v>3</v>
      </c>
      <c r="AK477" s="27">
        <f t="shared" si="0"/>
        <v>0.216</v>
      </c>
      <c r="AL477" s="17">
        <f t="shared" si="1"/>
        <v>19105</v>
      </c>
      <c r="AM477" s="27">
        <f t="shared" si="2"/>
        <v>1.5</v>
      </c>
      <c r="AN477" s="27">
        <f t="shared" si="3"/>
        <v>1.5</v>
      </c>
      <c r="AO477" s="7">
        <f t="shared" si="4"/>
        <v>3</v>
      </c>
      <c r="AP477" s="30">
        <f aca="true" t="shared" si="21" ref="AP477:AP494">AP476+1*$AP$473</f>
        <v>0.30000000000000004</v>
      </c>
      <c r="AQ477" s="27">
        <f t="shared" si="5"/>
        <v>0.683</v>
      </c>
      <c r="AR477" s="17">
        <f t="shared" si="6"/>
        <v>8057</v>
      </c>
      <c r="AS477" s="27">
        <f t="shared" si="7"/>
        <v>1.209</v>
      </c>
      <c r="AT477" s="27">
        <f t="shared" si="8"/>
        <v>0.909</v>
      </c>
      <c r="AU477" s="30">
        <f t="shared" si="9"/>
        <v>0.30000000000000004</v>
      </c>
      <c r="AV477" s="16">
        <f aca="true" t="shared" si="22" ref="AV477:AV494">AV476+1*$AV$473</f>
        <v>1.33</v>
      </c>
      <c r="AW477" s="27">
        <f t="shared" si="10"/>
        <v>0.324</v>
      </c>
      <c r="AX477" s="17">
        <f t="shared" si="11"/>
        <v>14095</v>
      </c>
      <c r="AY477" s="27">
        <f t="shared" si="12"/>
        <v>1.39</v>
      </c>
      <c r="AZ477" s="27">
        <f t="shared" si="13"/>
        <v>0.05999999999999983</v>
      </c>
      <c r="BA477" s="16">
        <f t="shared" si="14"/>
        <v>1.33</v>
      </c>
      <c r="BB477" s="27">
        <f aca="true" t="shared" si="23" ref="BB477:BB494">BB476+1*$BB$473</f>
        <v>1.3929999999999998</v>
      </c>
      <c r="BC477" s="27">
        <f t="shared" si="15"/>
        <v>0.317</v>
      </c>
      <c r="BD477" s="17">
        <f t="shared" si="16"/>
        <v>14328</v>
      </c>
      <c r="BE477" s="27">
        <f t="shared" si="17"/>
        <v>1.396</v>
      </c>
      <c r="BF477" s="27">
        <f t="shared" si="18"/>
        <v>0.0030000000000001137</v>
      </c>
      <c r="BG477" s="27">
        <f t="shared" si="20"/>
        <v>1.3929999999999998</v>
      </c>
      <c r="BH477" s="27"/>
      <c r="BI477" s="27"/>
    </row>
    <row r="478" spans="1:61" ht="15.75" customHeight="1">
      <c r="A478" s="23"/>
      <c r="B478" s="7"/>
      <c r="C478" s="116"/>
      <c r="D478" s="116"/>
      <c r="E478" s="116"/>
      <c r="F478" s="193">
        <v>0.3</v>
      </c>
      <c r="G478" s="193"/>
      <c r="H478" s="123"/>
      <c r="I478" s="123"/>
      <c r="J478" s="123"/>
      <c r="K478" s="116"/>
      <c r="L478" s="193">
        <f>F478</f>
        <v>0.3</v>
      </c>
      <c r="M478" s="193"/>
      <c r="N478" s="116"/>
      <c r="O478" s="116"/>
      <c r="P478" s="116"/>
      <c r="Q478" s="195"/>
      <c r="R478" s="195"/>
      <c r="S478" s="195"/>
      <c r="T478" s="116"/>
      <c r="U478" s="123"/>
      <c r="V478" s="123"/>
      <c r="W478" s="123"/>
      <c r="X478" s="123"/>
      <c r="Y478" s="123"/>
      <c r="Z478" s="123"/>
      <c r="AA478" s="200"/>
      <c r="AB478" s="200"/>
      <c r="AC478" s="200"/>
      <c r="AD478" s="200"/>
      <c r="AE478" s="200"/>
      <c r="AF478" s="200"/>
      <c r="AJ478" s="7">
        <f t="shared" si="19"/>
        <v>4</v>
      </c>
      <c r="AK478" s="27">
        <f t="shared" si="0"/>
        <v>0.187</v>
      </c>
      <c r="AL478" s="17">
        <f t="shared" si="1"/>
        <v>21287</v>
      </c>
      <c r="AM478" s="27">
        <f t="shared" si="2"/>
        <v>1.541</v>
      </c>
      <c r="AN478" s="27">
        <f t="shared" si="3"/>
        <v>2.459</v>
      </c>
      <c r="AO478" s="7">
        <f t="shared" si="4"/>
        <v>4</v>
      </c>
      <c r="AP478" s="30">
        <f t="shared" si="21"/>
        <v>0.4</v>
      </c>
      <c r="AQ478" s="27">
        <f t="shared" si="5"/>
        <v>0.592</v>
      </c>
      <c r="AR478" s="17">
        <f t="shared" si="6"/>
        <v>8969</v>
      </c>
      <c r="AS478" s="27">
        <f t="shared" si="7"/>
        <v>1.242</v>
      </c>
      <c r="AT478" s="27">
        <f t="shared" si="8"/>
        <v>0.842</v>
      </c>
      <c r="AU478" s="30">
        <f t="shared" si="9"/>
        <v>0.4</v>
      </c>
      <c r="AV478" s="16">
        <f t="shared" si="22"/>
        <v>1.34</v>
      </c>
      <c r="AW478" s="27">
        <f t="shared" si="10"/>
        <v>0.323</v>
      </c>
      <c r="AX478" s="17">
        <f t="shared" si="11"/>
        <v>14128</v>
      </c>
      <c r="AY478" s="27">
        <f t="shared" si="12"/>
        <v>1.391</v>
      </c>
      <c r="AZ478" s="27">
        <f t="shared" si="13"/>
        <v>0.050999999999999934</v>
      </c>
      <c r="BA478" s="16">
        <f t="shared" si="14"/>
        <v>1.34</v>
      </c>
      <c r="BB478" s="27">
        <f t="shared" si="23"/>
        <v>1.3939999999999997</v>
      </c>
      <c r="BC478" s="27">
        <f t="shared" si="15"/>
        <v>0.317</v>
      </c>
      <c r="BD478" s="17">
        <f t="shared" si="16"/>
        <v>14328</v>
      </c>
      <c r="BE478" s="27">
        <f t="shared" si="17"/>
        <v>1.396</v>
      </c>
      <c r="BF478" s="27">
        <f t="shared" si="18"/>
        <v>0.002000000000000224</v>
      </c>
      <c r="BG478" s="27">
        <f t="shared" si="20"/>
        <v>1.3939999999999997</v>
      </c>
      <c r="BH478" s="27"/>
      <c r="BI478" s="27"/>
    </row>
    <row r="479" spans="1:61" ht="15.75" customHeight="1">
      <c r="A479" s="23"/>
      <c r="B479" s="7"/>
      <c r="C479" s="7" t="s">
        <v>367</v>
      </c>
      <c r="F479" s="7" t="s">
        <v>368</v>
      </c>
      <c r="G479" s="3"/>
      <c r="I479" s="5"/>
      <c r="Q479" s="4" t="s">
        <v>180</v>
      </c>
      <c r="R479" s="195">
        <f>N62</f>
        <v>1</v>
      </c>
      <c r="S479" s="195"/>
      <c r="T479" s="195"/>
      <c r="X479" s="38"/>
      <c r="AE479" s="7"/>
      <c r="AF479" s="7"/>
      <c r="AG479" s="7"/>
      <c r="AH479" s="7"/>
      <c r="AI479" s="7"/>
      <c r="AJ479" s="7">
        <f t="shared" si="19"/>
        <v>5</v>
      </c>
      <c r="AK479" s="27">
        <f t="shared" si="0"/>
        <v>0.167</v>
      </c>
      <c r="AL479" s="17">
        <f t="shared" si="1"/>
        <v>23171</v>
      </c>
      <c r="AM479" s="27">
        <f t="shared" si="2"/>
        <v>1.574</v>
      </c>
      <c r="AN479" s="27">
        <f t="shared" si="3"/>
        <v>3.426</v>
      </c>
      <c r="AO479" s="7">
        <f t="shared" si="4"/>
        <v>5</v>
      </c>
      <c r="AP479" s="30">
        <f t="shared" si="21"/>
        <v>0.5</v>
      </c>
      <c r="AQ479" s="27">
        <f t="shared" si="5"/>
        <v>0.529</v>
      </c>
      <c r="AR479" s="17">
        <f t="shared" si="6"/>
        <v>9759</v>
      </c>
      <c r="AS479" s="27">
        <f t="shared" si="7"/>
        <v>1.268</v>
      </c>
      <c r="AT479" s="27">
        <f t="shared" si="8"/>
        <v>0.768</v>
      </c>
      <c r="AU479" s="30">
        <f t="shared" si="9"/>
        <v>0.5</v>
      </c>
      <c r="AV479" s="16">
        <f t="shared" si="22"/>
        <v>1.35</v>
      </c>
      <c r="AW479" s="27">
        <f t="shared" si="10"/>
        <v>0.322</v>
      </c>
      <c r="AX479" s="17">
        <f t="shared" si="11"/>
        <v>14161</v>
      </c>
      <c r="AY479" s="27">
        <f t="shared" si="12"/>
        <v>1.392</v>
      </c>
      <c r="AZ479" s="27">
        <f t="shared" si="13"/>
        <v>0.041999999999999815</v>
      </c>
      <c r="BA479" s="16">
        <f t="shared" si="14"/>
        <v>1.35</v>
      </c>
      <c r="BB479" s="27">
        <f t="shared" si="23"/>
        <v>1.3949999999999996</v>
      </c>
      <c r="BC479" s="27">
        <f t="shared" si="15"/>
        <v>0.317</v>
      </c>
      <c r="BD479" s="17">
        <f t="shared" si="16"/>
        <v>14328</v>
      </c>
      <c r="BE479" s="27">
        <f t="shared" si="17"/>
        <v>1.396</v>
      </c>
      <c r="BF479" s="27">
        <f t="shared" si="18"/>
        <v>0.001000000000000334</v>
      </c>
      <c r="BG479" s="27">
        <f t="shared" si="20"/>
        <v>1.3949999999999996</v>
      </c>
      <c r="BH479" s="27"/>
      <c r="BI479" s="27"/>
    </row>
    <row r="480" spans="1:61" ht="15.75" customHeight="1">
      <c r="A480" s="23"/>
      <c r="B480" s="7"/>
      <c r="D480" s="3"/>
      <c r="F480" s="25" t="s">
        <v>369</v>
      </c>
      <c r="G480" s="25"/>
      <c r="I480" s="5"/>
      <c r="Q480" s="4" t="s">
        <v>180</v>
      </c>
      <c r="R480" s="192">
        <f>M61</f>
        <v>4480</v>
      </c>
      <c r="S480" s="192"/>
      <c r="T480" s="192"/>
      <c r="U480" s="7" t="s">
        <v>233</v>
      </c>
      <c r="V480" s="7"/>
      <c r="W480" s="7"/>
      <c r="X480" s="38"/>
      <c r="AJ480" s="7">
        <f t="shared" si="19"/>
        <v>6</v>
      </c>
      <c r="AK480" s="27">
        <f t="shared" si="0"/>
        <v>0.153</v>
      </c>
      <c r="AL480" s="17">
        <f t="shared" si="1"/>
        <v>24744</v>
      </c>
      <c r="AM480" s="27">
        <f t="shared" si="2"/>
        <v>1.6</v>
      </c>
      <c r="AN480" s="27">
        <f t="shared" si="3"/>
        <v>4.4</v>
      </c>
      <c r="AO480" s="7">
        <f t="shared" si="4"/>
        <v>6</v>
      </c>
      <c r="AP480" s="30">
        <f t="shared" si="21"/>
        <v>0.6</v>
      </c>
      <c r="AQ480" s="27">
        <f t="shared" si="5"/>
        <v>0.483</v>
      </c>
      <c r="AR480" s="17">
        <f t="shared" si="6"/>
        <v>10448</v>
      </c>
      <c r="AS480" s="27">
        <f t="shared" si="7"/>
        <v>1.29</v>
      </c>
      <c r="AT480" s="27">
        <f t="shared" si="8"/>
        <v>0.6900000000000001</v>
      </c>
      <c r="AU480" s="30">
        <f t="shared" si="9"/>
        <v>0.6</v>
      </c>
      <c r="AV480" s="16">
        <f t="shared" si="22"/>
        <v>1.36</v>
      </c>
      <c r="AW480" s="27">
        <f t="shared" si="10"/>
        <v>0.321</v>
      </c>
      <c r="AX480" s="17">
        <f t="shared" si="11"/>
        <v>14194</v>
      </c>
      <c r="AY480" s="27">
        <f t="shared" si="12"/>
        <v>1.393</v>
      </c>
      <c r="AZ480" s="27">
        <f t="shared" si="13"/>
        <v>0.03299999999999992</v>
      </c>
      <c r="BA480" s="16">
        <f t="shared" si="14"/>
        <v>1.36</v>
      </c>
      <c r="BB480" s="27">
        <f t="shared" si="23"/>
        <v>1.3959999999999995</v>
      </c>
      <c r="BC480" s="27">
        <f t="shared" si="15"/>
        <v>0.317</v>
      </c>
      <c r="BD480" s="17">
        <f t="shared" si="16"/>
        <v>14328</v>
      </c>
      <c r="BE480" s="27">
        <f t="shared" si="17"/>
        <v>1.396</v>
      </c>
      <c r="BF480" s="27">
        <f t="shared" si="18"/>
        <v>4.440892098500626E-16</v>
      </c>
      <c r="BG480" s="27">
        <f t="shared" si="20"/>
        <v>1.3959999999999995</v>
      </c>
      <c r="BH480" s="27"/>
      <c r="BI480" s="27"/>
    </row>
    <row r="481" spans="1:61" ht="15.75" customHeight="1">
      <c r="A481" s="23"/>
      <c r="B481" s="7"/>
      <c r="D481" s="7"/>
      <c r="G481" s="3"/>
      <c r="W481" s="38"/>
      <c r="X481" s="38"/>
      <c r="Y481" s="9"/>
      <c r="Z481" s="9"/>
      <c r="AA481" s="7"/>
      <c r="AB481" s="7"/>
      <c r="AC481" s="7"/>
      <c r="AD481" s="7"/>
      <c r="AE481" s="7"/>
      <c r="AF481" s="7"/>
      <c r="AG481" s="7"/>
      <c r="AH481" s="7"/>
      <c r="AI481" s="7"/>
      <c r="AJ481" s="7">
        <f t="shared" si="19"/>
        <v>7</v>
      </c>
      <c r="AK481" s="27">
        <f t="shared" si="0"/>
        <v>0.141</v>
      </c>
      <c r="AL481" s="17">
        <f t="shared" si="1"/>
        <v>26307</v>
      </c>
      <c r="AM481" s="27">
        <f t="shared" si="2"/>
        <v>1.625</v>
      </c>
      <c r="AN481" s="27">
        <f t="shared" si="3"/>
        <v>5.375</v>
      </c>
      <c r="AO481" s="7">
        <f t="shared" si="4"/>
        <v>7</v>
      </c>
      <c r="AP481" s="30">
        <f t="shared" si="21"/>
        <v>0.7</v>
      </c>
      <c r="AQ481" s="27">
        <f t="shared" si="5"/>
        <v>0.447</v>
      </c>
      <c r="AR481" s="17">
        <f t="shared" si="6"/>
        <v>11073</v>
      </c>
      <c r="AS481" s="27">
        <f t="shared" si="7"/>
        <v>1.309</v>
      </c>
      <c r="AT481" s="27">
        <f t="shared" si="8"/>
        <v>0.609</v>
      </c>
      <c r="AU481" s="30">
        <f t="shared" si="9"/>
        <v>0.7</v>
      </c>
      <c r="AV481" s="16">
        <f t="shared" si="22"/>
        <v>1.37</v>
      </c>
      <c r="AW481" s="27">
        <f t="shared" si="10"/>
        <v>0.32</v>
      </c>
      <c r="AX481" s="17">
        <f t="shared" si="11"/>
        <v>14227</v>
      </c>
      <c r="AY481" s="27">
        <f t="shared" si="12"/>
        <v>1.394</v>
      </c>
      <c r="AZ481" s="27">
        <f t="shared" si="13"/>
        <v>0.0239999999999998</v>
      </c>
      <c r="BA481" s="16">
        <f t="shared" si="14"/>
        <v>1.37</v>
      </c>
      <c r="BB481" s="27">
        <f t="shared" si="23"/>
        <v>1.3969999999999994</v>
      </c>
      <c r="BC481" s="27">
        <f t="shared" si="15"/>
        <v>0.317</v>
      </c>
      <c r="BD481" s="17">
        <f t="shared" si="16"/>
        <v>14328</v>
      </c>
      <c r="BE481" s="27">
        <f t="shared" si="17"/>
        <v>1.396</v>
      </c>
      <c r="BF481" s="27">
        <f t="shared" si="18"/>
        <v>0.0009999999999994458</v>
      </c>
      <c r="BG481" s="27">
        <f t="shared" si="20"/>
        <v>1.3969999999999994</v>
      </c>
      <c r="BH481" s="27"/>
      <c r="BI481" s="27"/>
    </row>
    <row r="482" spans="1:61" ht="15.75" customHeight="1">
      <c r="A482" s="23"/>
      <c r="B482" s="7" t="s">
        <v>370</v>
      </c>
      <c r="C482" s="7"/>
      <c r="D482" s="7"/>
      <c r="G482" s="3"/>
      <c r="W482" s="38"/>
      <c r="X482" s="38"/>
      <c r="Y482" s="9"/>
      <c r="Z482" s="9"/>
      <c r="AA482" s="7"/>
      <c r="AB482" s="7"/>
      <c r="AC482" s="7"/>
      <c r="AD482" s="7"/>
      <c r="AE482" s="7"/>
      <c r="AF482" s="7"/>
      <c r="AG482" s="7"/>
      <c r="AH482" s="7"/>
      <c r="AI482" s="7"/>
      <c r="AJ482" s="7">
        <f t="shared" si="19"/>
        <v>8</v>
      </c>
      <c r="AK482" s="27">
        <f t="shared" si="0"/>
        <v>0.132</v>
      </c>
      <c r="AL482" s="17">
        <f t="shared" si="1"/>
        <v>27641</v>
      </c>
      <c r="AM482" s="27">
        <f t="shared" si="2"/>
        <v>1.645</v>
      </c>
      <c r="AN482" s="27">
        <f t="shared" si="3"/>
        <v>6.355</v>
      </c>
      <c r="AO482" s="7">
        <f t="shared" si="4"/>
        <v>8</v>
      </c>
      <c r="AP482" s="30">
        <f t="shared" si="21"/>
        <v>0.7999999999999999</v>
      </c>
      <c r="AQ482" s="27">
        <f t="shared" si="5"/>
        <v>0.418</v>
      </c>
      <c r="AR482" s="17">
        <f t="shared" si="6"/>
        <v>11644</v>
      </c>
      <c r="AS482" s="27">
        <f t="shared" si="7"/>
        <v>1.326</v>
      </c>
      <c r="AT482" s="27">
        <f t="shared" si="8"/>
        <v>0.5260000000000001</v>
      </c>
      <c r="AU482" s="30">
        <f t="shared" si="9"/>
        <v>0.7999999999999999</v>
      </c>
      <c r="AV482" s="16">
        <f t="shared" si="22"/>
        <v>1.3800000000000001</v>
      </c>
      <c r="AW482" s="27">
        <f t="shared" si="10"/>
        <v>0.319</v>
      </c>
      <c r="AX482" s="17">
        <f t="shared" si="11"/>
        <v>14261</v>
      </c>
      <c r="AY482" s="27">
        <f t="shared" si="12"/>
        <v>1.394</v>
      </c>
      <c r="AZ482" s="27">
        <f t="shared" si="13"/>
        <v>0.01399999999999979</v>
      </c>
      <c r="BA482" s="16">
        <f t="shared" si="14"/>
        <v>1.3800000000000001</v>
      </c>
      <c r="BB482" s="27">
        <f t="shared" si="23"/>
        <v>1.3979999999999992</v>
      </c>
      <c r="BC482" s="27">
        <f t="shared" si="15"/>
        <v>0.316</v>
      </c>
      <c r="BD482" s="17">
        <f t="shared" si="16"/>
        <v>14362</v>
      </c>
      <c r="BE482" s="27">
        <f t="shared" si="17"/>
        <v>1.397</v>
      </c>
      <c r="BF482" s="27">
        <f t="shared" si="18"/>
        <v>0.0009999999999992237</v>
      </c>
      <c r="BG482" s="27">
        <f t="shared" si="20"/>
        <v>1.3979999999999992</v>
      </c>
      <c r="BH482" s="27"/>
      <c r="BI482" s="27"/>
    </row>
    <row r="483" spans="1:61" ht="15.75" customHeight="1">
      <c r="A483" s="23"/>
      <c r="B483" s="7"/>
      <c r="C483" s="116" t="s">
        <v>371</v>
      </c>
      <c r="D483" s="116"/>
      <c r="E483" s="116" t="s">
        <v>180</v>
      </c>
      <c r="G483" s="3"/>
      <c r="H483" s="118" t="s">
        <v>372</v>
      </c>
      <c r="I483" s="118"/>
      <c r="J483" s="118"/>
      <c r="K483" s="116" t="s">
        <v>180</v>
      </c>
      <c r="N483" s="183">
        <f>L485</f>
        <v>0.14</v>
      </c>
      <c r="O483" s="183"/>
      <c r="P483" s="183"/>
      <c r="Q483" s="116" t="s">
        <v>180</v>
      </c>
      <c r="R483" s="114">
        <f>ROUND((N483/N484)^(1/2),3)</f>
        <v>0.317</v>
      </c>
      <c r="S483" s="114"/>
      <c r="T483" s="114"/>
      <c r="U483" s="123" t="s">
        <v>218</v>
      </c>
      <c r="V483" s="123"/>
      <c r="W483" s="123"/>
      <c r="X483" s="38"/>
      <c r="AA483" s="200" t="s">
        <v>373</v>
      </c>
      <c r="AB483" s="200"/>
      <c r="AC483" s="200"/>
      <c r="AD483" s="200"/>
      <c r="AE483" s="200"/>
      <c r="AF483" s="200"/>
      <c r="AG483" s="7"/>
      <c r="AH483" s="7"/>
      <c r="AI483" s="7"/>
      <c r="AJ483" s="7">
        <f t="shared" si="19"/>
        <v>9</v>
      </c>
      <c r="AK483" s="27">
        <f t="shared" si="0"/>
        <v>0.125</v>
      </c>
      <c r="AL483" s="17">
        <f t="shared" si="1"/>
        <v>28794</v>
      </c>
      <c r="AM483" s="27">
        <f t="shared" si="2"/>
        <v>1.662</v>
      </c>
      <c r="AN483" s="27">
        <f t="shared" si="3"/>
        <v>7.338</v>
      </c>
      <c r="AO483" s="7">
        <f t="shared" si="4"/>
        <v>9</v>
      </c>
      <c r="AP483" s="30">
        <f t="shared" si="21"/>
        <v>0.8999999999999999</v>
      </c>
      <c r="AQ483" s="27">
        <f t="shared" si="5"/>
        <v>0.394</v>
      </c>
      <c r="AR483" s="17">
        <f t="shared" si="6"/>
        <v>12172</v>
      </c>
      <c r="AS483" s="27">
        <f t="shared" si="7"/>
        <v>1.34</v>
      </c>
      <c r="AT483" s="27">
        <f t="shared" si="8"/>
        <v>0.44000000000000017</v>
      </c>
      <c r="AU483" s="30">
        <f t="shared" si="9"/>
        <v>0.8999999999999999</v>
      </c>
      <c r="AV483" s="16">
        <f t="shared" si="22"/>
        <v>1.3900000000000001</v>
      </c>
      <c r="AW483" s="27">
        <f t="shared" si="10"/>
        <v>0.317</v>
      </c>
      <c r="AX483" s="17">
        <f t="shared" si="11"/>
        <v>14328</v>
      </c>
      <c r="AY483" s="27">
        <f t="shared" si="12"/>
        <v>1.396</v>
      </c>
      <c r="AZ483" s="27">
        <f t="shared" si="13"/>
        <v>0.005999999999999783</v>
      </c>
      <c r="BA483" s="16">
        <f t="shared" si="14"/>
        <v>1.3900000000000001</v>
      </c>
      <c r="BB483" s="27">
        <f t="shared" si="23"/>
        <v>1.3989999999999991</v>
      </c>
      <c r="BC483" s="27">
        <f t="shared" si="15"/>
        <v>0.316</v>
      </c>
      <c r="BD483" s="17">
        <f t="shared" si="16"/>
        <v>14362</v>
      </c>
      <c r="BE483" s="27">
        <f t="shared" si="17"/>
        <v>1.397</v>
      </c>
      <c r="BF483" s="27">
        <f t="shared" si="18"/>
        <v>0.0019999999999991136</v>
      </c>
      <c r="BG483" s="27">
        <f t="shared" si="20"/>
        <v>1.3989999999999991</v>
      </c>
      <c r="BH483" s="27"/>
      <c r="BI483" s="27"/>
    </row>
    <row r="484" spans="1:61" ht="15.75" customHeight="1">
      <c r="A484" s="23"/>
      <c r="B484" s="7"/>
      <c r="C484" s="116"/>
      <c r="D484" s="116"/>
      <c r="E484" s="116"/>
      <c r="G484" s="3"/>
      <c r="H484" s="121" t="s">
        <v>355</v>
      </c>
      <c r="I484" s="121"/>
      <c r="J484" s="121"/>
      <c r="K484" s="116"/>
      <c r="N484" s="197">
        <f>F474</f>
        <v>1.3959999999999995</v>
      </c>
      <c r="O484" s="197"/>
      <c r="P484" s="197"/>
      <c r="Q484" s="116"/>
      <c r="R484" s="114"/>
      <c r="S484" s="114"/>
      <c r="T484" s="114"/>
      <c r="U484" s="123"/>
      <c r="V484" s="123"/>
      <c r="W484" s="123"/>
      <c r="X484" s="38"/>
      <c r="AA484" s="200"/>
      <c r="AB484" s="200"/>
      <c r="AC484" s="200"/>
      <c r="AD484" s="200"/>
      <c r="AE484" s="200"/>
      <c r="AF484" s="200"/>
      <c r="AG484" s="7"/>
      <c r="AH484" s="7"/>
      <c r="AI484" s="7"/>
      <c r="AJ484" s="7">
        <f t="shared" si="19"/>
        <v>10</v>
      </c>
      <c r="AK484" s="27">
        <f t="shared" si="0"/>
        <v>0.118</v>
      </c>
      <c r="AL484" s="17">
        <f t="shared" si="1"/>
        <v>30066</v>
      </c>
      <c r="AM484" s="27">
        <f t="shared" si="2"/>
        <v>1.68</v>
      </c>
      <c r="AN484" s="27">
        <f t="shared" si="3"/>
        <v>8.32</v>
      </c>
      <c r="AO484" s="7">
        <f t="shared" si="4"/>
        <v>10</v>
      </c>
      <c r="AP484" s="30">
        <f t="shared" si="21"/>
        <v>0.9999999999999999</v>
      </c>
      <c r="AQ484" s="27">
        <f t="shared" si="5"/>
        <v>0.374</v>
      </c>
      <c r="AR484" s="17">
        <f t="shared" si="6"/>
        <v>12657</v>
      </c>
      <c r="AS484" s="27">
        <f t="shared" si="7"/>
        <v>1.353</v>
      </c>
      <c r="AT484" s="27">
        <f t="shared" si="8"/>
        <v>0.3530000000000001</v>
      </c>
      <c r="AU484" s="30">
        <f t="shared" si="9"/>
        <v>0.9999999999999999</v>
      </c>
      <c r="AV484" s="16">
        <f t="shared" si="22"/>
        <v>1.4000000000000001</v>
      </c>
      <c r="AW484" s="27">
        <f t="shared" si="10"/>
        <v>0.316</v>
      </c>
      <c r="AX484" s="17">
        <f t="shared" si="11"/>
        <v>14362</v>
      </c>
      <c r="AY484" s="27">
        <f t="shared" si="12"/>
        <v>1.397</v>
      </c>
      <c r="AZ484" s="27">
        <f t="shared" si="13"/>
        <v>0.0030000000000001137</v>
      </c>
      <c r="BA484" s="16">
        <f t="shared" si="14"/>
        <v>1.4000000000000001</v>
      </c>
      <c r="BB484" s="27">
        <f t="shared" si="23"/>
        <v>1.399999999999999</v>
      </c>
      <c r="BC484" s="27">
        <f t="shared" si="15"/>
        <v>0.316</v>
      </c>
      <c r="BD484" s="17">
        <f t="shared" si="16"/>
        <v>14362</v>
      </c>
      <c r="BE484" s="27">
        <f t="shared" si="17"/>
        <v>1.397</v>
      </c>
      <c r="BF484" s="27">
        <f t="shared" si="18"/>
        <v>0.0029999999999990035</v>
      </c>
      <c r="BG484" s="27">
        <f t="shared" si="20"/>
        <v>1.399999999999999</v>
      </c>
      <c r="BH484" s="27"/>
      <c r="BI484" s="27"/>
    </row>
    <row r="485" spans="1:61" ht="15.75" customHeight="1">
      <c r="A485" s="23"/>
      <c r="B485" s="7"/>
      <c r="C485" s="7" t="s">
        <v>374</v>
      </c>
      <c r="D485" s="7"/>
      <c r="G485" s="21"/>
      <c r="H485" s="21"/>
      <c r="I485" s="22"/>
      <c r="J485" s="22"/>
      <c r="K485" s="4" t="s">
        <v>180</v>
      </c>
      <c r="L485" s="114">
        <f>L70/1000</f>
        <v>0.14</v>
      </c>
      <c r="M485" s="114"/>
      <c r="N485" s="114"/>
      <c r="O485" s="7" t="s">
        <v>218</v>
      </c>
      <c r="P485" s="7"/>
      <c r="W485" s="38"/>
      <c r="X485" s="38"/>
      <c r="Y485" s="9"/>
      <c r="Z485" s="9"/>
      <c r="AG485" s="7"/>
      <c r="AH485" s="7"/>
      <c r="AI485" s="7"/>
      <c r="AJ485" s="7">
        <f t="shared" si="19"/>
        <v>11</v>
      </c>
      <c r="AK485" s="27">
        <f t="shared" si="0"/>
        <v>0.113</v>
      </c>
      <c r="AL485" s="17">
        <f t="shared" si="1"/>
        <v>31058</v>
      </c>
      <c r="AM485" s="27">
        <f t="shared" si="2"/>
        <v>1.694</v>
      </c>
      <c r="AN485" s="27">
        <f t="shared" si="3"/>
        <v>9.306000000000001</v>
      </c>
      <c r="AO485" s="7">
        <f t="shared" si="4"/>
        <v>11</v>
      </c>
      <c r="AP485" s="30">
        <f t="shared" si="21"/>
        <v>1.0999999999999999</v>
      </c>
      <c r="AQ485" s="27">
        <f t="shared" si="5"/>
        <v>0.357</v>
      </c>
      <c r="AR485" s="17">
        <f t="shared" si="6"/>
        <v>13107</v>
      </c>
      <c r="AS485" s="27">
        <f t="shared" si="7"/>
        <v>1.365</v>
      </c>
      <c r="AT485" s="27">
        <f t="shared" si="8"/>
        <v>0.2650000000000001</v>
      </c>
      <c r="AU485" s="30">
        <f t="shared" si="9"/>
        <v>1.0999999999999999</v>
      </c>
      <c r="AV485" s="16">
        <f t="shared" si="22"/>
        <v>1.4100000000000001</v>
      </c>
      <c r="AW485" s="27">
        <f t="shared" si="10"/>
        <v>0.315</v>
      </c>
      <c r="AX485" s="17">
        <f t="shared" si="11"/>
        <v>14396</v>
      </c>
      <c r="AY485" s="27">
        <f t="shared" si="12"/>
        <v>1.398</v>
      </c>
      <c r="AZ485" s="27">
        <f t="shared" si="13"/>
        <v>0.012000000000000233</v>
      </c>
      <c r="BA485" s="16">
        <f t="shared" si="14"/>
        <v>1.4100000000000001</v>
      </c>
      <c r="BB485" s="27">
        <f t="shared" si="23"/>
        <v>1.400999999999999</v>
      </c>
      <c r="BC485" s="27">
        <f t="shared" si="15"/>
        <v>0.316</v>
      </c>
      <c r="BD485" s="17">
        <f t="shared" si="16"/>
        <v>14362</v>
      </c>
      <c r="BE485" s="27">
        <f t="shared" si="17"/>
        <v>1.397</v>
      </c>
      <c r="BF485" s="27">
        <f t="shared" si="18"/>
        <v>0.003999999999998893</v>
      </c>
      <c r="BG485" s="27">
        <f t="shared" si="20"/>
        <v>1.400999999999999</v>
      </c>
      <c r="BH485" s="27"/>
      <c r="BI485" s="27"/>
    </row>
    <row r="486" spans="1:61" ht="15.75" customHeight="1">
      <c r="A486" s="23"/>
      <c r="B486" s="7"/>
      <c r="C486" s="21"/>
      <c r="D486" s="21"/>
      <c r="E486" s="21"/>
      <c r="F486" s="21"/>
      <c r="G486" s="22"/>
      <c r="H486" s="22"/>
      <c r="I486" s="22"/>
      <c r="Z486" s="3"/>
      <c r="AG486" s="7"/>
      <c r="AH486" s="7"/>
      <c r="AI486" s="7"/>
      <c r="AJ486" s="7">
        <f t="shared" si="19"/>
        <v>12</v>
      </c>
      <c r="AK486" s="27">
        <f t="shared" si="0"/>
        <v>0.108</v>
      </c>
      <c r="AL486" s="17">
        <f t="shared" si="1"/>
        <v>32131</v>
      </c>
      <c r="AM486" s="27">
        <f t="shared" si="2"/>
        <v>1.708</v>
      </c>
      <c r="AN486" s="27">
        <f t="shared" si="3"/>
        <v>10.292</v>
      </c>
      <c r="AO486" s="7">
        <f t="shared" si="4"/>
        <v>12</v>
      </c>
      <c r="AP486" s="30">
        <f t="shared" si="21"/>
        <v>1.2</v>
      </c>
      <c r="AQ486" s="27">
        <f t="shared" si="5"/>
        <v>0.342</v>
      </c>
      <c r="AR486" s="17">
        <f t="shared" si="6"/>
        <v>13535</v>
      </c>
      <c r="AS486" s="27">
        <f t="shared" si="7"/>
        <v>1.376</v>
      </c>
      <c r="AT486" s="27">
        <f t="shared" si="8"/>
        <v>0.17599999999999993</v>
      </c>
      <c r="AU486" s="30">
        <f t="shared" si="9"/>
        <v>1.2</v>
      </c>
      <c r="AV486" s="16">
        <f t="shared" si="22"/>
        <v>1.4200000000000002</v>
      </c>
      <c r="AW486" s="27">
        <f t="shared" si="10"/>
        <v>0.314</v>
      </c>
      <c r="AX486" s="17">
        <f t="shared" si="11"/>
        <v>14431</v>
      </c>
      <c r="AY486" s="27">
        <f t="shared" si="12"/>
        <v>1.399</v>
      </c>
      <c r="AZ486" s="27">
        <f t="shared" si="13"/>
        <v>0.02100000000000013</v>
      </c>
      <c r="BA486" s="16">
        <f t="shared" si="14"/>
        <v>1.4200000000000002</v>
      </c>
      <c r="BB486" s="27">
        <f t="shared" si="23"/>
        <v>1.4019999999999988</v>
      </c>
      <c r="BC486" s="27">
        <f t="shared" si="15"/>
        <v>0.316</v>
      </c>
      <c r="BD486" s="17">
        <f t="shared" si="16"/>
        <v>14362</v>
      </c>
      <c r="BE486" s="27">
        <f t="shared" si="17"/>
        <v>1.397</v>
      </c>
      <c r="BF486" s="27">
        <f t="shared" si="18"/>
        <v>0.004999999999998783</v>
      </c>
      <c r="BG486" s="27">
        <f t="shared" si="20"/>
        <v>1.4019999999999988</v>
      </c>
      <c r="BH486" s="27"/>
      <c r="BI486" s="27"/>
    </row>
    <row r="487" spans="1:61" ht="15.75" customHeight="1">
      <c r="A487" s="23"/>
      <c r="B487" s="7" t="s">
        <v>375</v>
      </c>
      <c r="C487" s="7"/>
      <c r="D487" s="7"/>
      <c r="G487" s="3"/>
      <c r="W487" s="38"/>
      <c r="X487" s="38"/>
      <c r="Y487" s="9"/>
      <c r="Z487" s="9"/>
      <c r="AG487" s="7"/>
      <c r="AH487" s="7"/>
      <c r="AI487" s="7"/>
      <c r="AJ487" s="7">
        <f t="shared" si="19"/>
        <v>13</v>
      </c>
      <c r="AK487" s="27">
        <f t="shared" si="0"/>
        <v>0.104</v>
      </c>
      <c r="AL487" s="17">
        <f t="shared" si="1"/>
        <v>33053</v>
      </c>
      <c r="AM487" s="27">
        <f t="shared" si="2"/>
        <v>1.721</v>
      </c>
      <c r="AN487" s="27">
        <f t="shared" si="3"/>
        <v>11.279</v>
      </c>
      <c r="AO487" s="7">
        <f t="shared" si="4"/>
        <v>13</v>
      </c>
      <c r="AP487" s="30">
        <f t="shared" si="21"/>
        <v>1.3</v>
      </c>
      <c r="AQ487" s="27">
        <f t="shared" si="5"/>
        <v>0.328</v>
      </c>
      <c r="AR487" s="17">
        <f t="shared" si="6"/>
        <v>13966</v>
      </c>
      <c r="AS487" s="27">
        <f t="shared" si="7"/>
        <v>1.387</v>
      </c>
      <c r="AT487" s="27">
        <f t="shared" si="8"/>
        <v>0.08699999999999997</v>
      </c>
      <c r="AU487" s="30">
        <f t="shared" si="9"/>
        <v>1.3</v>
      </c>
      <c r="AV487" s="16">
        <f t="shared" si="22"/>
        <v>1.4300000000000002</v>
      </c>
      <c r="AW487" s="27">
        <f t="shared" si="10"/>
        <v>0.313</v>
      </c>
      <c r="AX487" s="17">
        <f t="shared" si="11"/>
        <v>14465</v>
      </c>
      <c r="AY487" s="27">
        <f t="shared" si="12"/>
        <v>1.399</v>
      </c>
      <c r="AZ487" s="27">
        <f t="shared" si="13"/>
        <v>0.03100000000000014</v>
      </c>
      <c r="BA487" s="16">
        <f t="shared" si="14"/>
        <v>1.4300000000000002</v>
      </c>
      <c r="BB487" s="27">
        <f t="shared" si="23"/>
        <v>1.4029999999999987</v>
      </c>
      <c r="BC487" s="27">
        <f t="shared" si="15"/>
        <v>0.316</v>
      </c>
      <c r="BD487" s="17">
        <f t="shared" si="16"/>
        <v>14362</v>
      </c>
      <c r="BE487" s="27">
        <f t="shared" si="17"/>
        <v>1.397</v>
      </c>
      <c r="BF487" s="27">
        <f t="shared" si="18"/>
        <v>0.005999999999998673</v>
      </c>
      <c r="BG487" s="27">
        <f t="shared" si="20"/>
        <v>1.4029999999999987</v>
      </c>
      <c r="BH487" s="27"/>
      <c r="BI487" s="27"/>
    </row>
    <row r="488" spans="1:61" ht="15.75" customHeight="1">
      <c r="A488" s="23"/>
      <c r="B488" s="7"/>
      <c r="C488" s="116" t="s">
        <v>376</v>
      </c>
      <c r="D488" s="116"/>
      <c r="E488" s="116" t="s">
        <v>180</v>
      </c>
      <c r="F488" s="116" t="s">
        <v>364</v>
      </c>
      <c r="G488" s="116"/>
      <c r="H488" s="116"/>
      <c r="I488" s="116" t="s">
        <v>249</v>
      </c>
      <c r="J488" s="116" t="s">
        <v>243</v>
      </c>
      <c r="K488" s="118" t="s">
        <v>371</v>
      </c>
      <c r="L488" s="118"/>
      <c r="M488" s="118"/>
      <c r="N488" s="116" t="s">
        <v>244</v>
      </c>
      <c r="O488" s="40" t="s">
        <v>377</v>
      </c>
      <c r="P488" s="7"/>
      <c r="W488" s="38"/>
      <c r="X488" s="38"/>
      <c r="AA488" s="200" t="s">
        <v>378</v>
      </c>
      <c r="AB488" s="200"/>
      <c r="AC488" s="200"/>
      <c r="AD488" s="200"/>
      <c r="AE488" s="200"/>
      <c r="AF488" s="200"/>
      <c r="AG488" s="7"/>
      <c r="AH488" s="7"/>
      <c r="AI488" s="7"/>
      <c r="AJ488" s="7">
        <f t="shared" si="19"/>
        <v>14</v>
      </c>
      <c r="AK488" s="27">
        <f t="shared" si="0"/>
        <v>0.1</v>
      </c>
      <c r="AL488" s="17">
        <f t="shared" si="1"/>
        <v>34040</v>
      </c>
      <c r="AM488" s="27">
        <f t="shared" si="2"/>
        <v>1.733</v>
      </c>
      <c r="AN488" s="27">
        <f t="shared" si="3"/>
        <v>12.267</v>
      </c>
      <c r="AO488" s="7">
        <f t="shared" si="4"/>
        <v>14</v>
      </c>
      <c r="AP488" s="30">
        <f t="shared" si="21"/>
        <v>1.4000000000000001</v>
      </c>
      <c r="AQ488" s="27">
        <f t="shared" si="5"/>
        <v>0.316</v>
      </c>
      <c r="AR488" s="17">
        <f t="shared" si="6"/>
        <v>14362</v>
      </c>
      <c r="AS488" s="27">
        <f t="shared" si="7"/>
        <v>1.397</v>
      </c>
      <c r="AT488" s="27">
        <f t="shared" si="8"/>
        <v>0.0030000000000001137</v>
      </c>
      <c r="AU488" s="30">
        <f t="shared" si="9"/>
        <v>1.4000000000000001</v>
      </c>
      <c r="AV488" s="16">
        <f t="shared" si="22"/>
        <v>1.4400000000000002</v>
      </c>
      <c r="AW488" s="27">
        <f t="shared" si="10"/>
        <v>0.312</v>
      </c>
      <c r="AX488" s="17">
        <f t="shared" si="11"/>
        <v>14500</v>
      </c>
      <c r="AY488" s="27">
        <f t="shared" si="12"/>
        <v>1.4</v>
      </c>
      <c r="AZ488" s="27">
        <f t="shared" si="13"/>
        <v>0.04000000000000026</v>
      </c>
      <c r="BA488" s="16">
        <f t="shared" si="14"/>
        <v>1.4400000000000002</v>
      </c>
      <c r="BB488" s="27">
        <f t="shared" si="23"/>
        <v>1.4039999999999986</v>
      </c>
      <c r="BC488" s="27">
        <f t="shared" si="15"/>
        <v>0.316</v>
      </c>
      <c r="BD488" s="17">
        <f t="shared" si="16"/>
        <v>14362</v>
      </c>
      <c r="BE488" s="27">
        <f t="shared" si="17"/>
        <v>1.397</v>
      </c>
      <c r="BF488" s="27">
        <f t="shared" si="18"/>
        <v>0.006999999999998563</v>
      </c>
      <c r="BG488" s="27">
        <f t="shared" si="20"/>
        <v>1.4039999999999986</v>
      </c>
      <c r="BH488" s="27"/>
      <c r="BI488" s="27"/>
    </row>
    <row r="489" spans="1:61" ht="15.75" customHeight="1">
      <c r="A489" s="23"/>
      <c r="B489" s="7"/>
      <c r="C489" s="116"/>
      <c r="D489" s="116"/>
      <c r="E489" s="116"/>
      <c r="F489" s="116"/>
      <c r="G489" s="116"/>
      <c r="H489" s="116"/>
      <c r="I489" s="116"/>
      <c r="J489" s="116"/>
      <c r="K489" s="193">
        <v>0.3</v>
      </c>
      <c r="L489" s="193"/>
      <c r="M489" s="193"/>
      <c r="N489" s="116"/>
      <c r="O489" s="7"/>
      <c r="P489" s="7"/>
      <c r="W489" s="38"/>
      <c r="X489" s="38"/>
      <c r="AA489" s="200"/>
      <c r="AB489" s="200"/>
      <c r="AC489" s="200"/>
      <c r="AD489" s="200"/>
      <c r="AE489" s="200"/>
      <c r="AF489" s="200"/>
      <c r="AG489" s="7"/>
      <c r="AH489" s="7"/>
      <c r="AI489" s="7"/>
      <c r="AJ489" s="7">
        <f t="shared" si="19"/>
        <v>15</v>
      </c>
      <c r="AK489" s="27">
        <f t="shared" si="0"/>
        <v>0.097</v>
      </c>
      <c r="AL489" s="17">
        <f t="shared" si="1"/>
        <v>34826</v>
      </c>
      <c r="AM489" s="27">
        <f t="shared" si="2"/>
        <v>1.743</v>
      </c>
      <c r="AN489" s="27">
        <f t="shared" si="3"/>
        <v>13.257</v>
      </c>
      <c r="AO489" s="7">
        <f t="shared" si="4"/>
        <v>15</v>
      </c>
      <c r="AP489" s="30">
        <f t="shared" si="21"/>
        <v>1.5000000000000002</v>
      </c>
      <c r="AQ489" s="27">
        <f t="shared" si="5"/>
        <v>0.306</v>
      </c>
      <c r="AR489" s="17">
        <f t="shared" si="6"/>
        <v>14713</v>
      </c>
      <c r="AS489" s="27">
        <f t="shared" si="7"/>
        <v>1.405</v>
      </c>
      <c r="AT489" s="27">
        <f t="shared" si="8"/>
        <v>0.0950000000000002</v>
      </c>
      <c r="AU489" s="30">
        <f t="shared" si="9"/>
        <v>1.5000000000000002</v>
      </c>
      <c r="AV489" s="16">
        <f t="shared" si="22"/>
        <v>1.4500000000000002</v>
      </c>
      <c r="AW489" s="27">
        <f t="shared" si="10"/>
        <v>0.311</v>
      </c>
      <c r="AX489" s="17">
        <f t="shared" si="11"/>
        <v>14535</v>
      </c>
      <c r="AY489" s="27">
        <f t="shared" si="12"/>
        <v>1.401</v>
      </c>
      <c r="AZ489" s="27">
        <f t="shared" si="13"/>
        <v>0.049000000000000155</v>
      </c>
      <c r="BA489" s="16">
        <f t="shared" si="14"/>
        <v>1.4500000000000002</v>
      </c>
      <c r="BB489" s="27">
        <f t="shared" si="23"/>
        <v>1.4049999999999985</v>
      </c>
      <c r="BC489" s="27">
        <f t="shared" si="15"/>
        <v>0.316</v>
      </c>
      <c r="BD489" s="17">
        <f t="shared" si="16"/>
        <v>14362</v>
      </c>
      <c r="BE489" s="27">
        <f t="shared" si="17"/>
        <v>1.397</v>
      </c>
      <c r="BF489" s="27">
        <f t="shared" si="18"/>
        <v>0.007999999999998453</v>
      </c>
      <c r="BG489" s="27">
        <f t="shared" si="20"/>
        <v>1.4049999999999985</v>
      </c>
      <c r="BH489" s="27"/>
      <c r="BI489" s="27"/>
    </row>
    <row r="490" spans="1:61" ht="15.75" customHeight="1">
      <c r="A490" s="23"/>
      <c r="B490" s="7"/>
      <c r="C490" s="7"/>
      <c r="D490" s="7"/>
      <c r="E490" s="116" t="s">
        <v>180</v>
      </c>
      <c r="F490" s="123">
        <f>U477</f>
        <v>14933</v>
      </c>
      <c r="G490" s="123"/>
      <c r="H490" s="123"/>
      <c r="I490" s="116" t="s">
        <v>249</v>
      </c>
      <c r="J490" s="116" t="s">
        <v>243</v>
      </c>
      <c r="K490" s="183">
        <f>R483</f>
        <v>0.317</v>
      </c>
      <c r="L490" s="183"/>
      <c r="M490" s="183"/>
      <c r="N490" s="116" t="s">
        <v>244</v>
      </c>
      <c r="O490" s="40" t="s">
        <v>377</v>
      </c>
      <c r="P490" s="16"/>
      <c r="Q490" s="116" t="s">
        <v>180</v>
      </c>
      <c r="R490" s="192">
        <f>ROUND(F490*(K490/K491)^(-3/4),0)</f>
        <v>14328</v>
      </c>
      <c r="S490" s="192"/>
      <c r="T490" s="192"/>
      <c r="U490" s="123" t="s">
        <v>241</v>
      </c>
      <c r="V490" s="123"/>
      <c r="W490" s="123"/>
      <c r="X490" s="38"/>
      <c r="Y490" s="9"/>
      <c r="Z490" s="9"/>
      <c r="AA490" s="7"/>
      <c r="AB490" s="7"/>
      <c r="AC490" s="7"/>
      <c r="AD490" s="7"/>
      <c r="AE490" s="7"/>
      <c r="AF490" s="7"/>
      <c r="AG490" s="7"/>
      <c r="AH490" s="7"/>
      <c r="AI490" s="7"/>
      <c r="AJ490" s="7">
        <f t="shared" si="19"/>
        <v>16</v>
      </c>
      <c r="AK490" s="27">
        <f t="shared" si="0"/>
        <v>0.094</v>
      </c>
      <c r="AL490" s="17">
        <f t="shared" si="1"/>
        <v>35657</v>
      </c>
      <c r="AM490" s="27">
        <f t="shared" si="2"/>
        <v>1.754</v>
      </c>
      <c r="AN490" s="27">
        <f t="shared" si="3"/>
        <v>14.246</v>
      </c>
      <c r="AO490" s="7">
        <f t="shared" si="4"/>
        <v>16</v>
      </c>
      <c r="AP490" s="30">
        <f t="shared" si="21"/>
        <v>1.6000000000000003</v>
      </c>
      <c r="AQ490" s="27">
        <f t="shared" si="5"/>
        <v>0.296</v>
      </c>
      <c r="AR490" s="17">
        <f t="shared" si="6"/>
        <v>15084</v>
      </c>
      <c r="AS490" s="27">
        <f t="shared" si="7"/>
        <v>1.414</v>
      </c>
      <c r="AT490" s="27">
        <f t="shared" si="8"/>
        <v>0.1860000000000004</v>
      </c>
      <c r="AU490" s="30">
        <f t="shared" si="9"/>
        <v>1.6000000000000003</v>
      </c>
      <c r="AV490" s="16">
        <f t="shared" si="22"/>
        <v>1.4600000000000002</v>
      </c>
      <c r="AW490" s="27">
        <f t="shared" si="10"/>
        <v>0.31</v>
      </c>
      <c r="AX490" s="17">
        <f t="shared" si="11"/>
        <v>14570</v>
      </c>
      <c r="AY490" s="27">
        <f t="shared" si="12"/>
        <v>1.402</v>
      </c>
      <c r="AZ490" s="27">
        <f t="shared" si="13"/>
        <v>0.058000000000000274</v>
      </c>
      <c r="BA490" s="16">
        <f t="shared" si="14"/>
        <v>1.4600000000000002</v>
      </c>
      <c r="BB490" s="27">
        <f t="shared" si="23"/>
        <v>1.4059999999999984</v>
      </c>
      <c r="BC490" s="27">
        <f t="shared" si="15"/>
        <v>0.316</v>
      </c>
      <c r="BD490" s="17">
        <f t="shared" si="16"/>
        <v>14362</v>
      </c>
      <c r="BE490" s="27">
        <f t="shared" si="17"/>
        <v>1.397</v>
      </c>
      <c r="BF490" s="27">
        <f t="shared" si="18"/>
        <v>0.008999999999998343</v>
      </c>
      <c r="BG490" s="27">
        <f t="shared" si="20"/>
        <v>1.4059999999999984</v>
      </c>
      <c r="BH490" s="27"/>
      <c r="BI490" s="27"/>
    </row>
    <row r="491" spans="1:61" ht="15.75" customHeight="1">
      <c r="A491" s="23"/>
      <c r="B491" s="7"/>
      <c r="C491" s="7"/>
      <c r="D491" s="7"/>
      <c r="E491" s="116"/>
      <c r="F491" s="123"/>
      <c r="G491" s="123"/>
      <c r="H491" s="123"/>
      <c r="I491" s="116"/>
      <c r="J491" s="116"/>
      <c r="K491" s="193">
        <v>0.3</v>
      </c>
      <c r="L491" s="193"/>
      <c r="M491" s="193"/>
      <c r="N491" s="116"/>
      <c r="O491" s="7"/>
      <c r="P491" s="16"/>
      <c r="Q491" s="116"/>
      <c r="R491" s="192"/>
      <c r="S491" s="192"/>
      <c r="T491" s="192"/>
      <c r="U491" s="123"/>
      <c r="V491" s="123"/>
      <c r="W491" s="123"/>
      <c r="X491" s="38"/>
      <c r="Y491" s="9"/>
      <c r="Z491" s="9"/>
      <c r="AA491" s="7"/>
      <c r="AB491" s="7"/>
      <c r="AC491" s="7"/>
      <c r="AD491" s="7"/>
      <c r="AE491" s="7"/>
      <c r="AF491" s="7"/>
      <c r="AG491" s="7"/>
      <c r="AH491" s="7"/>
      <c r="AI491" s="7"/>
      <c r="AJ491" s="7">
        <f t="shared" si="19"/>
        <v>17</v>
      </c>
      <c r="AK491" s="27">
        <f t="shared" si="0"/>
        <v>0.091</v>
      </c>
      <c r="AL491" s="17">
        <f t="shared" si="1"/>
        <v>36535</v>
      </c>
      <c r="AM491" s="27">
        <f t="shared" si="2"/>
        <v>1.764</v>
      </c>
      <c r="AN491" s="27">
        <f t="shared" si="3"/>
        <v>15.236</v>
      </c>
      <c r="AO491" s="7">
        <f t="shared" si="4"/>
        <v>17</v>
      </c>
      <c r="AP491" s="30">
        <f t="shared" si="21"/>
        <v>1.7000000000000004</v>
      </c>
      <c r="AQ491" s="27">
        <f t="shared" si="5"/>
        <v>0.287</v>
      </c>
      <c r="AR491" s="17">
        <f t="shared" si="6"/>
        <v>15437</v>
      </c>
      <c r="AS491" s="27">
        <f t="shared" si="7"/>
        <v>1.422</v>
      </c>
      <c r="AT491" s="27">
        <f t="shared" si="8"/>
        <v>0.27800000000000047</v>
      </c>
      <c r="AU491" s="30">
        <f t="shared" si="9"/>
        <v>1.7000000000000004</v>
      </c>
      <c r="AV491" s="16">
        <f t="shared" si="22"/>
        <v>1.4700000000000002</v>
      </c>
      <c r="AW491" s="27">
        <f t="shared" si="10"/>
        <v>0.309</v>
      </c>
      <c r="AX491" s="17">
        <f t="shared" si="11"/>
        <v>14606</v>
      </c>
      <c r="AY491" s="27">
        <f t="shared" si="12"/>
        <v>1.403</v>
      </c>
      <c r="AZ491" s="27">
        <f t="shared" si="13"/>
        <v>0.06700000000000017</v>
      </c>
      <c r="BA491" s="16">
        <f t="shared" si="14"/>
        <v>1.4700000000000002</v>
      </c>
      <c r="BB491" s="27">
        <f t="shared" si="23"/>
        <v>1.4069999999999983</v>
      </c>
      <c r="BC491" s="27">
        <f t="shared" si="15"/>
        <v>0.315</v>
      </c>
      <c r="BD491" s="17">
        <f t="shared" si="16"/>
        <v>14396</v>
      </c>
      <c r="BE491" s="27">
        <f t="shared" si="17"/>
        <v>1.398</v>
      </c>
      <c r="BF491" s="27">
        <f t="shared" si="18"/>
        <v>0.008999999999998343</v>
      </c>
      <c r="BG491" s="27">
        <f t="shared" si="20"/>
        <v>1.4069999999999983</v>
      </c>
      <c r="BH491" s="27"/>
      <c r="BI491" s="27"/>
    </row>
    <row r="492" spans="1:61" ht="15.75" customHeight="1">
      <c r="A492" s="23"/>
      <c r="B492" s="7"/>
      <c r="C492" s="7"/>
      <c r="D492" s="7"/>
      <c r="G492" s="3"/>
      <c r="W492" s="38"/>
      <c r="X492" s="38"/>
      <c r="Y492" s="9"/>
      <c r="Z492" s="9"/>
      <c r="AG492" s="7"/>
      <c r="AH492" s="7"/>
      <c r="AI492" s="7"/>
      <c r="AJ492" s="7">
        <f t="shared" si="19"/>
        <v>18</v>
      </c>
      <c r="AK492" s="27">
        <f t="shared" si="0"/>
        <v>0.088</v>
      </c>
      <c r="AL492" s="17">
        <f t="shared" si="1"/>
        <v>37465</v>
      </c>
      <c r="AM492" s="27">
        <f t="shared" si="2"/>
        <v>1.775</v>
      </c>
      <c r="AN492" s="27">
        <f t="shared" si="3"/>
        <v>16.225</v>
      </c>
      <c r="AO492" s="7">
        <f t="shared" si="4"/>
        <v>18</v>
      </c>
      <c r="AP492" s="30">
        <f t="shared" si="21"/>
        <v>1.8000000000000005</v>
      </c>
      <c r="AQ492" s="27">
        <f t="shared" si="5"/>
        <v>0.279</v>
      </c>
      <c r="AR492" s="17">
        <f t="shared" si="6"/>
        <v>15768</v>
      </c>
      <c r="AS492" s="27">
        <f t="shared" si="7"/>
        <v>1.43</v>
      </c>
      <c r="AT492" s="27">
        <f t="shared" si="8"/>
        <v>0.37000000000000055</v>
      </c>
      <c r="AU492" s="30">
        <f t="shared" si="9"/>
        <v>1.8000000000000005</v>
      </c>
      <c r="AV492" s="16">
        <f t="shared" si="22"/>
        <v>1.4800000000000002</v>
      </c>
      <c r="AW492" s="27">
        <f t="shared" si="10"/>
        <v>0.308</v>
      </c>
      <c r="AX492" s="17">
        <f t="shared" si="11"/>
        <v>14641</v>
      </c>
      <c r="AY492" s="27">
        <f t="shared" si="12"/>
        <v>1.404</v>
      </c>
      <c r="AZ492" s="27">
        <f t="shared" si="13"/>
        <v>0.07600000000000029</v>
      </c>
      <c r="BA492" s="16">
        <f t="shared" si="14"/>
        <v>1.4800000000000002</v>
      </c>
      <c r="BB492" s="27">
        <f t="shared" si="23"/>
        <v>1.4079999999999981</v>
      </c>
      <c r="BC492" s="27">
        <f t="shared" si="15"/>
        <v>0.315</v>
      </c>
      <c r="BD492" s="17">
        <f t="shared" si="16"/>
        <v>14396</v>
      </c>
      <c r="BE492" s="27">
        <f t="shared" si="17"/>
        <v>1.398</v>
      </c>
      <c r="BF492" s="27">
        <f t="shared" si="18"/>
        <v>0.009999999999998233</v>
      </c>
      <c r="BG492" s="27">
        <f t="shared" si="20"/>
        <v>1.4079999999999981</v>
      </c>
      <c r="BH492" s="27"/>
      <c r="BI492" s="27"/>
    </row>
    <row r="493" spans="1:61" ht="15.75" customHeight="1">
      <c r="A493" s="23"/>
      <c r="B493" s="7" t="s">
        <v>379</v>
      </c>
      <c r="C493" s="7"/>
      <c r="D493" s="7"/>
      <c r="G493" s="3"/>
      <c r="W493" s="38"/>
      <c r="X493" s="38"/>
      <c r="Y493" s="9"/>
      <c r="Z493" s="9"/>
      <c r="AG493" s="7"/>
      <c r="AH493" s="7"/>
      <c r="AI493" s="7"/>
      <c r="AJ493" s="7">
        <f t="shared" si="19"/>
        <v>19</v>
      </c>
      <c r="AK493" s="27">
        <f t="shared" si="0"/>
        <v>0.086</v>
      </c>
      <c r="AL493" s="17">
        <f t="shared" si="1"/>
        <v>38117</v>
      </c>
      <c r="AM493" s="27">
        <f t="shared" si="2"/>
        <v>1.783</v>
      </c>
      <c r="AN493" s="27">
        <f t="shared" si="3"/>
        <v>17.217</v>
      </c>
      <c r="AO493" s="7">
        <f t="shared" si="4"/>
        <v>19</v>
      </c>
      <c r="AP493" s="30">
        <f t="shared" si="21"/>
        <v>1.9000000000000006</v>
      </c>
      <c r="AQ493" s="27">
        <f t="shared" si="5"/>
        <v>0.271</v>
      </c>
      <c r="AR493" s="17">
        <f t="shared" si="6"/>
        <v>16116</v>
      </c>
      <c r="AS493" s="27">
        <f t="shared" si="7"/>
        <v>1.438</v>
      </c>
      <c r="AT493" s="27">
        <f t="shared" si="8"/>
        <v>0.46200000000000063</v>
      </c>
      <c r="AU493" s="30">
        <f t="shared" si="9"/>
        <v>1.9000000000000006</v>
      </c>
      <c r="AV493" s="16">
        <f t="shared" si="22"/>
        <v>1.4900000000000002</v>
      </c>
      <c r="AW493" s="27">
        <f t="shared" si="10"/>
        <v>0.307</v>
      </c>
      <c r="AX493" s="17">
        <f t="shared" si="11"/>
        <v>14677</v>
      </c>
      <c r="AY493" s="27">
        <f t="shared" si="12"/>
        <v>1.405</v>
      </c>
      <c r="AZ493" s="27">
        <f t="shared" si="13"/>
        <v>0.08500000000000019</v>
      </c>
      <c r="BA493" s="16">
        <f t="shared" si="14"/>
        <v>1.4900000000000002</v>
      </c>
      <c r="BB493" s="27">
        <f t="shared" si="23"/>
        <v>1.408999999999998</v>
      </c>
      <c r="BC493" s="27">
        <f t="shared" si="15"/>
        <v>0.315</v>
      </c>
      <c r="BD493" s="17">
        <f t="shared" si="16"/>
        <v>14396</v>
      </c>
      <c r="BE493" s="27">
        <f t="shared" si="17"/>
        <v>1.398</v>
      </c>
      <c r="BF493" s="27">
        <f t="shared" si="18"/>
        <v>0.010999999999998122</v>
      </c>
      <c r="BG493" s="27">
        <f t="shared" si="20"/>
        <v>1.408999999999998</v>
      </c>
      <c r="BH493" s="27"/>
      <c r="BI493" s="27"/>
    </row>
    <row r="494" spans="1:61" ht="15.75" customHeight="1">
      <c r="A494" s="23"/>
      <c r="B494" s="7"/>
      <c r="C494" s="116" t="s">
        <v>380</v>
      </c>
      <c r="D494" s="116"/>
      <c r="E494" s="116" t="s">
        <v>180</v>
      </c>
      <c r="F494" s="118" t="s">
        <v>272</v>
      </c>
      <c r="G494" s="118"/>
      <c r="H494" s="118"/>
      <c r="I494" s="123" t="s">
        <v>381</v>
      </c>
      <c r="J494" s="123"/>
      <c r="K494" s="123"/>
      <c r="L494" s="116" t="s">
        <v>180</v>
      </c>
      <c r="M494" s="118" t="s">
        <v>272</v>
      </c>
      <c r="N494" s="118"/>
      <c r="O494" s="29" t="s">
        <v>179</v>
      </c>
      <c r="P494" s="203">
        <f>L485</f>
        <v>0.14</v>
      </c>
      <c r="Q494" s="203"/>
      <c r="R494" s="203"/>
      <c r="S494" s="41">
        <v>4</v>
      </c>
      <c r="T494" s="116" t="s">
        <v>180</v>
      </c>
      <c r="U494" s="204">
        <f>PI()*P494^4/64</f>
        <v>1.8857409903172737E-05</v>
      </c>
      <c r="V494" s="204"/>
      <c r="W494" s="204"/>
      <c r="X494" s="204"/>
      <c r="Y494" s="123" t="s">
        <v>382</v>
      </c>
      <c r="Z494" s="123"/>
      <c r="AA494" s="200" t="s">
        <v>383</v>
      </c>
      <c r="AB494" s="200"/>
      <c r="AC494" s="200"/>
      <c r="AD494" s="200"/>
      <c r="AE494" s="200"/>
      <c r="AF494" s="200"/>
      <c r="AH494" s="7"/>
      <c r="AI494" s="7"/>
      <c r="AJ494" s="7">
        <f t="shared" si="19"/>
        <v>20</v>
      </c>
      <c r="AK494" s="27">
        <f t="shared" si="0"/>
        <v>0.084</v>
      </c>
      <c r="AL494" s="17">
        <f t="shared" si="1"/>
        <v>38795</v>
      </c>
      <c r="AM494" s="27">
        <f t="shared" si="2"/>
        <v>1.791</v>
      </c>
      <c r="AN494" s="27">
        <f t="shared" si="3"/>
        <v>18.209</v>
      </c>
      <c r="AO494" s="7">
        <f t="shared" si="4"/>
        <v>20</v>
      </c>
      <c r="AP494" s="30">
        <f t="shared" si="21"/>
        <v>2.0000000000000004</v>
      </c>
      <c r="AQ494" s="27">
        <f t="shared" si="5"/>
        <v>0.265</v>
      </c>
      <c r="AR494" s="17">
        <f t="shared" si="6"/>
        <v>16389</v>
      </c>
      <c r="AS494" s="27">
        <f t="shared" si="7"/>
        <v>1.444</v>
      </c>
      <c r="AT494" s="27">
        <f t="shared" si="8"/>
        <v>0.5560000000000005</v>
      </c>
      <c r="AU494" s="30">
        <f t="shared" si="9"/>
        <v>2.0000000000000004</v>
      </c>
      <c r="AV494" s="16">
        <f t="shared" si="22"/>
        <v>1.5000000000000002</v>
      </c>
      <c r="AW494" s="27">
        <f t="shared" si="10"/>
        <v>0.306</v>
      </c>
      <c r="AX494" s="17">
        <f t="shared" si="11"/>
        <v>14713</v>
      </c>
      <c r="AY494" s="27">
        <f t="shared" si="12"/>
        <v>1.405</v>
      </c>
      <c r="AZ494" s="27">
        <f t="shared" si="13"/>
        <v>0.0950000000000002</v>
      </c>
      <c r="BA494" s="16">
        <f t="shared" si="14"/>
        <v>1.5000000000000002</v>
      </c>
      <c r="BB494" s="27">
        <f t="shared" si="23"/>
        <v>1.409999999999998</v>
      </c>
      <c r="BC494" s="27">
        <f t="shared" si="15"/>
        <v>0.315</v>
      </c>
      <c r="BD494" s="17">
        <f t="shared" si="16"/>
        <v>14396</v>
      </c>
      <c r="BE494" s="27">
        <f t="shared" si="17"/>
        <v>1.398</v>
      </c>
      <c r="BF494" s="27">
        <f t="shared" si="18"/>
        <v>0.011999999999998012</v>
      </c>
      <c r="BG494" s="27">
        <f t="shared" si="20"/>
        <v>1.409999999999998</v>
      </c>
      <c r="BH494" s="27"/>
      <c r="BI494" s="27"/>
    </row>
    <row r="495" spans="1:61" ht="15.75" customHeight="1">
      <c r="A495" s="23"/>
      <c r="B495" s="7"/>
      <c r="C495" s="116"/>
      <c r="D495" s="116"/>
      <c r="E495" s="116"/>
      <c r="F495" s="194">
        <v>64</v>
      </c>
      <c r="G495" s="194"/>
      <c r="H495" s="194"/>
      <c r="I495" s="123"/>
      <c r="J495" s="123"/>
      <c r="K495" s="123"/>
      <c r="L495" s="116"/>
      <c r="M495" s="7"/>
      <c r="N495" s="16"/>
      <c r="O495" s="195">
        <v>64</v>
      </c>
      <c r="P495" s="195"/>
      <c r="Q495" s="195"/>
      <c r="R495" s="7"/>
      <c r="S495" s="7"/>
      <c r="T495" s="116"/>
      <c r="U495" s="204"/>
      <c r="V495" s="204"/>
      <c r="W495" s="204"/>
      <c r="X495" s="204"/>
      <c r="Y495" s="123"/>
      <c r="Z495" s="123"/>
      <c r="AA495" s="200"/>
      <c r="AB495" s="200"/>
      <c r="AC495" s="200"/>
      <c r="AD495" s="200"/>
      <c r="AE495" s="200"/>
      <c r="AF495" s="200"/>
      <c r="AH495" s="7"/>
      <c r="AI495" s="7"/>
      <c r="AJ495" s="7"/>
      <c r="AN495" s="27">
        <f>MIN(AN475:AN494)</f>
        <v>0.353</v>
      </c>
      <c r="AO495" s="17">
        <f>VLOOKUP(AN495,AN475:AO494,2,FALSE)</f>
        <v>1</v>
      </c>
      <c r="AP495" s="7"/>
      <c r="AT495" s="27">
        <f>MIN(AT475:AT494)</f>
        <v>0.0030000000000001137</v>
      </c>
      <c r="AU495" s="30">
        <f>VLOOKUP(AT495,AT475:AU494,2,FALSE)</f>
        <v>1.4000000000000001</v>
      </c>
      <c r="AV495" s="7"/>
      <c r="AZ495" s="27">
        <f>MIN(AZ475:AZ494)</f>
        <v>0.0030000000000001137</v>
      </c>
      <c r="BA495" s="16">
        <f>VLOOKUP(AZ495,AZ475:BA494,2,FALSE)</f>
        <v>1.4000000000000001</v>
      </c>
      <c r="BB495" s="7"/>
      <c r="BF495" s="27">
        <f>MIN(BF475:BF494)</f>
        <v>4.440892098500626E-16</v>
      </c>
      <c r="BG495" s="27">
        <f>VLOOKUP(BF495,BF475:BI494,2,FALSE)</f>
        <v>1.3959999999999995</v>
      </c>
      <c r="BH495" s="27"/>
      <c r="BI495" s="27"/>
    </row>
    <row r="496" spans="1:37" ht="15.75" customHeight="1">
      <c r="A496" s="23"/>
      <c r="B496" s="7"/>
      <c r="C496" s="7"/>
      <c r="D496" s="7"/>
      <c r="G496" s="3"/>
      <c r="W496" s="38"/>
      <c r="X496" s="38"/>
      <c r="Y496" s="9"/>
      <c r="Z496" s="9"/>
      <c r="AG496" s="7"/>
      <c r="AH496" s="7"/>
      <c r="AI496" s="7"/>
      <c r="AJ496" s="7"/>
      <c r="AK496" s="7"/>
    </row>
    <row r="497" spans="1:38" ht="15.75" customHeight="1">
      <c r="A497" s="23"/>
      <c r="B497" s="7" t="s">
        <v>384</v>
      </c>
      <c r="C497" s="3"/>
      <c r="D497" s="3"/>
      <c r="G497" s="3"/>
      <c r="Z497" s="3"/>
      <c r="AG497" s="7"/>
      <c r="AH497" s="7"/>
      <c r="AI497" s="7"/>
      <c r="AJ497" s="7"/>
      <c r="AK497" s="21"/>
      <c r="AL497" s="22"/>
    </row>
    <row r="498" spans="1:38" ht="15.75" customHeight="1">
      <c r="A498" s="23"/>
      <c r="B498" s="7"/>
      <c r="C498" s="116" t="s">
        <v>355</v>
      </c>
      <c r="D498" s="116"/>
      <c r="E498" s="116" t="s">
        <v>180</v>
      </c>
      <c r="F498" s="3">
        <v>4</v>
      </c>
      <c r="G498" s="3"/>
      <c r="H498" s="118" t="s">
        <v>385</v>
      </c>
      <c r="I498" s="118"/>
      <c r="J498" s="118"/>
      <c r="K498" s="118"/>
      <c r="L498" s="7"/>
      <c r="M498" s="7"/>
      <c r="N498" s="16"/>
      <c r="O498" s="16"/>
      <c r="P498" s="16"/>
      <c r="Q498" s="7"/>
      <c r="R498" s="7"/>
      <c r="S498" s="7"/>
      <c r="T498" s="7"/>
      <c r="U498" s="7"/>
      <c r="V498" s="7"/>
      <c r="W498" s="7"/>
      <c r="X498" s="7"/>
      <c r="AA498" s="200" t="s">
        <v>386</v>
      </c>
      <c r="AB498" s="200"/>
      <c r="AC498" s="200"/>
      <c r="AD498" s="200"/>
      <c r="AE498" s="200"/>
      <c r="AF498" s="200"/>
      <c r="AH498" s="7"/>
      <c r="AI498" s="7"/>
      <c r="AJ498" s="7"/>
      <c r="AK498" s="42"/>
      <c r="AL498" s="42"/>
    </row>
    <row r="499" spans="1:39" ht="15.75" customHeight="1">
      <c r="A499" s="23"/>
      <c r="B499" s="7"/>
      <c r="C499" s="116"/>
      <c r="D499" s="116"/>
      <c r="E499" s="116"/>
      <c r="G499" s="3"/>
      <c r="H499" s="116" t="s">
        <v>387</v>
      </c>
      <c r="I499" s="116"/>
      <c r="J499" s="116"/>
      <c r="K499" s="116"/>
      <c r="L499" s="7"/>
      <c r="M499" s="7"/>
      <c r="N499" s="16"/>
      <c r="O499" s="16"/>
      <c r="P499" s="16"/>
      <c r="Q499" s="7"/>
      <c r="R499" s="7"/>
      <c r="S499" s="7"/>
      <c r="T499" s="7"/>
      <c r="U499" s="7"/>
      <c r="V499" s="7"/>
      <c r="W499" s="7"/>
      <c r="X499" s="7"/>
      <c r="AA499" s="200"/>
      <c r="AB499" s="200"/>
      <c r="AC499" s="200"/>
      <c r="AD499" s="200"/>
      <c r="AE499" s="200"/>
      <c r="AF499" s="200"/>
      <c r="AH499" s="7"/>
      <c r="AI499" s="7"/>
      <c r="AJ499" s="7"/>
      <c r="AK499" s="42"/>
      <c r="AL499" s="42"/>
      <c r="AM499" s="42"/>
    </row>
    <row r="500" spans="1:41" ht="15.75" customHeight="1">
      <c r="A500" s="23"/>
      <c r="B500" s="7"/>
      <c r="C500" s="7"/>
      <c r="D500" s="7"/>
      <c r="E500" s="116" t="s">
        <v>180</v>
      </c>
      <c r="F500" s="3">
        <v>4</v>
      </c>
      <c r="G500" s="3"/>
      <c r="H500" s="118">
        <f>R490</f>
        <v>14328</v>
      </c>
      <c r="I500" s="118"/>
      <c r="J500" s="118"/>
      <c r="K500" s="118"/>
      <c r="L500" s="118"/>
      <c r="M500" s="28" t="s">
        <v>179</v>
      </c>
      <c r="N500" s="183">
        <f>L485</f>
        <v>0.14</v>
      </c>
      <c r="O500" s="183"/>
      <c r="P500" s="183"/>
      <c r="Q500" s="183"/>
      <c r="R500" s="183"/>
      <c r="S500" s="116" t="s">
        <v>180</v>
      </c>
      <c r="T500" s="205">
        <f>ROUND((H500*N500/(H501*J501*O501))^(1/4),3)</f>
        <v>1.396</v>
      </c>
      <c r="U500" s="205"/>
      <c r="V500" s="205"/>
      <c r="W500" s="123" t="s">
        <v>357</v>
      </c>
      <c r="X500" s="123"/>
      <c r="Y500" s="123"/>
      <c r="Z500" s="200" t="s">
        <v>388</v>
      </c>
      <c r="AA500" s="200"/>
      <c r="AB500" s="200"/>
      <c r="AC500" s="200"/>
      <c r="AD500" s="200"/>
      <c r="AE500" s="200"/>
      <c r="AF500" s="200"/>
      <c r="AH500" s="7"/>
      <c r="AI500" s="7"/>
      <c r="AJ500" s="7"/>
      <c r="AK500" s="7"/>
      <c r="AL500" s="7"/>
      <c r="AM500" s="7"/>
      <c r="AN500" s="21"/>
      <c r="AO500" s="21"/>
    </row>
    <row r="501" spans="1:41" ht="15.75" customHeight="1">
      <c r="A501" s="23"/>
      <c r="B501" s="7"/>
      <c r="C501" s="7"/>
      <c r="D501" s="7"/>
      <c r="E501" s="116"/>
      <c r="G501" s="3"/>
      <c r="H501" s="4">
        <v>4</v>
      </c>
      <c r="I501" s="4" t="s">
        <v>179</v>
      </c>
      <c r="J501" s="116">
        <f>K503</f>
        <v>7000000</v>
      </c>
      <c r="K501" s="116"/>
      <c r="L501" s="116"/>
      <c r="M501" s="116"/>
      <c r="N501" s="4" t="s">
        <v>179</v>
      </c>
      <c r="O501" s="206">
        <f>U494</f>
        <v>1.8857409903172737E-05</v>
      </c>
      <c r="P501" s="206"/>
      <c r="Q501" s="206"/>
      <c r="R501" s="206"/>
      <c r="S501" s="116"/>
      <c r="T501" s="205"/>
      <c r="U501" s="205"/>
      <c r="V501" s="205"/>
      <c r="W501" s="123"/>
      <c r="X501" s="123"/>
      <c r="Y501" s="123"/>
      <c r="Z501" s="200"/>
      <c r="AA501" s="200"/>
      <c r="AB501" s="200"/>
      <c r="AC501" s="200"/>
      <c r="AD501" s="200"/>
      <c r="AE501" s="200"/>
      <c r="AF501" s="200"/>
      <c r="AG501" s="7"/>
      <c r="AH501" s="7"/>
      <c r="AI501" s="7"/>
      <c r="AJ501" s="7"/>
      <c r="AK501" s="7"/>
      <c r="AL501" s="7"/>
      <c r="AM501" s="7"/>
      <c r="AN501" s="21"/>
      <c r="AO501" s="21"/>
    </row>
    <row r="502" spans="1:40" ht="15.75" customHeight="1">
      <c r="A502" s="23"/>
      <c r="B502" s="7"/>
      <c r="C502" s="7" t="s">
        <v>367</v>
      </c>
      <c r="D502" s="3"/>
      <c r="G502" s="3"/>
      <c r="Z502" s="3"/>
      <c r="AG502" s="7"/>
      <c r="AH502" s="7"/>
      <c r="AI502" s="7"/>
      <c r="AJ502" s="123"/>
      <c r="AK502" s="123"/>
      <c r="AL502" s="123"/>
      <c r="AM502" s="7"/>
      <c r="AN502" s="7"/>
    </row>
    <row r="503" spans="1:40" ht="15.75" customHeight="1">
      <c r="A503" s="23"/>
      <c r="B503" s="7"/>
      <c r="C503" s="3"/>
      <c r="D503" s="7" t="s">
        <v>389</v>
      </c>
      <c r="E503" s="7"/>
      <c r="F503" s="7"/>
      <c r="G503" s="7"/>
      <c r="H503" s="7"/>
      <c r="I503" s="16"/>
      <c r="J503" s="16"/>
      <c r="K503" s="192">
        <f>J69</f>
        <v>7000000</v>
      </c>
      <c r="L503" s="192"/>
      <c r="M503" s="192"/>
      <c r="N503" s="192"/>
      <c r="O503" s="7" t="s">
        <v>233</v>
      </c>
      <c r="T503" s="7"/>
      <c r="U503" s="7"/>
      <c r="Z503" s="3"/>
      <c r="AG503" s="7"/>
      <c r="AH503" s="7"/>
      <c r="AI503" s="7"/>
      <c r="AJ503" s="123"/>
      <c r="AK503" s="123"/>
      <c r="AL503" s="123"/>
      <c r="AM503" s="7"/>
      <c r="AN503" s="7"/>
    </row>
    <row r="504" spans="1:40" ht="15.75" customHeight="1">
      <c r="A504" s="23"/>
      <c r="B504" s="7"/>
      <c r="C504" s="7"/>
      <c r="D504" s="3"/>
      <c r="E504" s="7"/>
      <c r="F504" s="7"/>
      <c r="G504" s="16"/>
      <c r="H504" s="16"/>
      <c r="I504" s="16"/>
      <c r="Z504" s="3"/>
      <c r="AH504" s="7"/>
      <c r="AI504" s="7"/>
      <c r="AJ504" s="123"/>
      <c r="AK504" s="123"/>
      <c r="AL504" s="123"/>
      <c r="AM504" s="7"/>
      <c r="AN504" s="7"/>
    </row>
    <row r="505" spans="1:40" ht="15.75" customHeight="1">
      <c r="A505" s="23"/>
      <c r="B505" s="7" t="s">
        <v>390</v>
      </c>
      <c r="C505" s="7"/>
      <c r="D505" s="3"/>
      <c r="G505" s="3"/>
      <c r="Z505" s="3"/>
      <c r="AH505" s="7"/>
      <c r="AI505" s="7"/>
      <c r="AJ505" s="7"/>
      <c r="AK505" s="7"/>
      <c r="AL505" s="7"/>
      <c r="AM505" s="7"/>
      <c r="AN505" s="7"/>
    </row>
    <row r="506" spans="1:40" ht="15.75" customHeight="1">
      <c r="A506" s="23"/>
      <c r="B506" s="7"/>
      <c r="C506" s="116" t="s">
        <v>352</v>
      </c>
      <c r="D506" s="116"/>
      <c r="E506" s="116" t="s">
        <v>180</v>
      </c>
      <c r="F506" s="201" t="s">
        <v>353</v>
      </c>
      <c r="G506" s="201"/>
      <c r="H506" s="201"/>
      <c r="I506" s="118" t="s">
        <v>349</v>
      </c>
      <c r="J506" s="118"/>
      <c r="K506" s="118"/>
      <c r="L506" s="116" t="s">
        <v>180</v>
      </c>
      <c r="M506" s="201">
        <v>-0.3224</v>
      </c>
      <c r="N506" s="201"/>
      <c r="O506" s="201"/>
      <c r="P506" s="116" t="s">
        <v>179</v>
      </c>
      <c r="Q506" s="183">
        <f>N465</f>
        <v>0</v>
      </c>
      <c r="R506" s="183"/>
      <c r="S506" s="183"/>
      <c r="T506" s="116" t="s">
        <v>180</v>
      </c>
      <c r="U506" s="114">
        <f>ROUND(M506*Q506/Q507,3)</f>
        <v>0</v>
      </c>
      <c r="V506" s="114"/>
      <c r="W506" s="114"/>
      <c r="X506" s="123" t="s">
        <v>391</v>
      </c>
      <c r="Y506" s="123"/>
      <c r="Z506" s="123"/>
      <c r="AA506" s="7"/>
      <c r="AB506" s="7"/>
      <c r="AC506" s="7"/>
      <c r="AD506" s="7"/>
      <c r="AE506" s="7"/>
      <c r="AF506" s="7"/>
      <c r="AG506" s="7"/>
      <c r="AH506" s="7"/>
      <c r="AI506" s="7"/>
      <c r="AJ506" s="7"/>
      <c r="AK506" s="7"/>
      <c r="AL506" s="7"/>
      <c r="AM506" s="7"/>
      <c r="AN506" s="7"/>
    </row>
    <row r="507" spans="1:40" ht="15.75" customHeight="1">
      <c r="A507" s="23"/>
      <c r="B507" s="7"/>
      <c r="C507" s="116"/>
      <c r="D507" s="116"/>
      <c r="E507" s="116"/>
      <c r="F507" s="201"/>
      <c r="G507" s="201"/>
      <c r="H507" s="201"/>
      <c r="I507" s="121" t="s">
        <v>355</v>
      </c>
      <c r="J507" s="121"/>
      <c r="K507" s="121"/>
      <c r="L507" s="116"/>
      <c r="M507" s="201"/>
      <c r="N507" s="201"/>
      <c r="O507" s="201"/>
      <c r="P507" s="116"/>
      <c r="Q507" s="197">
        <f>T500</f>
        <v>1.396</v>
      </c>
      <c r="R507" s="197"/>
      <c r="S507" s="197"/>
      <c r="T507" s="116"/>
      <c r="U507" s="114"/>
      <c r="V507" s="114"/>
      <c r="W507" s="114"/>
      <c r="X507" s="123"/>
      <c r="Y507" s="123"/>
      <c r="Z507" s="123"/>
      <c r="AA507" s="7"/>
      <c r="AB507" s="7"/>
      <c r="AC507" s="7"/>
      <c r="AD507" s="7"/>
      <c r="AE507" s="7"/>
      <c r="AF507" s="7"/>
      <c r="AG507" s="7"/>
      <c r="AH507" s="7"/>
      <c r="AI507" s="7"/>
      <c r="AJ507" s="7"/>
      <c r="AK507" s="7"/>
      <c r="AL507" s="7"/>
      <c r="AM507" s="7"/>
      <c r="AN507" s="7"/>
    </row>
    <row r="508" spans="1:40" ht="15.75" customHeight="1">
      <c r="A508" s="23"/>
      <c r="B508" s="7" t="s">
        <v>392</v>
      </c>
      <c r="D508" s="4"/>
      <c r="E508" s="4"/>
      <c r="F508" s="7"/>
      <c r="G508" s="16"/>
      <c r="H508" s="16"/>
      <c r="I508" s="16"/>
      <c r="J508" s="7"/>
      <c r="K508" s="7"/>
      <c r="L508" s="7"/>
      <c r="M508" s="17"/>
      <c r="N508" s="7"/>
      <c r="O508" s="7"/>
      <c r="P508" s="16"/>
      <c r="Q508" s="7"/>
      <c r="R508" s="7"/>
      <c r="S508" s="7"/>
      <c r="T508" s="7"/>
      <c r="U508" s="16"/>
      <c r="V508" s="16"/>
      <c r="W508" s="16"/>
      <c r="X508" s="7"/>
      <c r="Y508" s="7"/>
      <c r="Z508" s="7"/>
      <c r="AA508" s="7"/>
      <c r="AB508" s="7"/>
      <c r="AC508" s="7"/>
      <c r="AD508" s="7"/>
      <c r="AE508" s="7"/>
      <c r="AF508" s="7"/>
      <c r="AG508" s="7"/>
      <c r="AH508" s="7"/>
      <c r="AI508" s="7"/>
      <c r="AJ508" s="7"/>
      <c r="AK508" s="7"/>
      <c r="AL508" s="7"/>
      <c r="AM508" s="7"/>
      <c r="AN508" s="7"/>
    </row>
    <row r="509" spans="1:40" ht="15.75" customHeight="1">
      <c r="A509" s="23"/>
      <c r="B509" s="7"/>
      <c r="C509" s="116" t="s">
        <v>393</v>
      </c>
      <c r="D509" s="116"/>
      <c r="E509" s="116" t="s">
        <v>180</v>
      </c>
      <c r="F509" s="118" t="s">
        <v>394</v>
      </c>
      <c r="G509" s="118"/>
      <c r="H509" s="118"/>
      <c r="I509" s="207" t="s">
        <v>310</v>
      </c>
      <c r="J509" s="118" t="s">
        <v>395</v>
      </c>
      <c r="K509" s="118"/>
      <c r="L509" s="118"/>
      <c r="M509" s="17"/>
      <c r="N509" s="7"/>
      <c r="O509" s="7"/>
      <c r="P509" s="16"/>
      <c r="Q509" s="7"/>
      <c r="R509" s="7"/>
      <c r="S509" s="7"/>
      <c r="T509" s="7"/>
      <c r="U509" s="16"/>
      <c r="V509" s="16"/>
      <c r="W509" s="16"/>
      <c r="X509" s="7"/>
      <c r="Y509" s="200" t="s">
        <v>396</v>
      </c>
      <c r="Z509" s="200"/>
      <c r="AA509" s="200"/>
      <c r="AB509" s="200"/>
      <c r="AC509" s="200"/>
      <c r="AD509" s="200"/>
      <c r="AE509" s="7"/>
      <c r="AF509" s="7"/>
      <c r="AG509" s="7"/>
      <c r="AH509" s="7"/>
      <c r="AI509" s="7"/>
      <c r="AJ509" s="7"/>
      <c r="AK509" s="7"/>
      <c r="AL509" s="7"/>
      <c r="AM509" s="7"/>
      <c r="AN509" s="7"/>
    </row>
    <row r="510" spans="1:40" ht="15.75" customHeight="1">
      <c r="A510" s="23"/>
      <c r="B510" s="7"/>
      <c r="C510" s="116"/>
      <c r="D510" s="116"/>
      <c r="E510" s="116"/>
      <c r="F510" s="194" t="s">
        <v>1</v>
      </c>
      <c r="G510" s="194"/>
      <c r="H510" s="194"/>
      <c r="I510" s="207"/>
      <c r="J510" s="194" t="s">
        <v>397</v>
      </c>
      <c r="K510" s="194"/>
      <c r="L510" s="194"/>
      <c r="M510" s="17"/>
      <c r="N510" s="7"/>
      <c r="O510" s="7"/>
      <c r="P510" s="16"/>
      <c r="Q510" s="7"/>
      <c r="R510" s="7"/>
      <c r="S510" s="7"/>
      <c r="T510" s="7"/>
      <c r="U510" s="16"/>
      <c r="V510" s="16"/>
      <c r="W510" s="16"/>
      <c r="X510" s="7"/>
      <c r="Y510" s="200"/>
      <c r="Z510" s="200"/>
      <c r="AA510" s="200"/>
      <c r="AB510" s="200"/>
      <c r="AC510" s="200"/>
      <c r="AD510" s="200"/>
      <c r="AE510" s="7"/>
      <c r="AF510" s="7"/>
      <c r="AG510" s="7"/>
      <c r="AH510" s="7"/>
      <c r="AI510" s="7"/>
      <c r="AJ510" s="7"/>
      <c r="AK510" s="7"/>
      <c r="AL510" s="7"/>
      <c r="AM510" s="7"/>
      <c r="AN510" s="7"/>
    </row>
    <row r="511" spans="1:48" ht="15.75" customHeight="1">
      <c r="A511" s="23"/>
      <c r="B511" s="7"/>
      <c r="C511" s="7"/>
      <c r="D511" s="7"/>
      <c r="E511" s="7"/>
      <c r="F511" s="7"/>
      <c r="G511" s="16"/>
      <c r="H511" s="16"/>
      <c r="I511" s="16"/>
      <c r="J511" s="7"/>
      <c r="K511" s="7"/>
      <c r="L511" s="7"/>
      <c r="M511" s="17"/>
      <c r="N511" s="7"/>
      <c r="O511" s="7"/>
      <c r="P511" s="16"/>
      <c r="Q511" s="7"/>
      <c r="V511" s="16"/>
      <c r="W511" s="16"/>
      <c r="X511" s="7"/>
      <c r="Y511" s="7"/>
      <c r="Z511" s="7"/>
      <c r="AA511" s="7"/>
      <c r="AB511" s="7"/>
      <c r="AC511" s="7"/>
      <c r="AD511" s="7"/>
      <c r="AE511" s="7"/>
      <c r="AF511" s="7"/>
      <c r="AG511" s="7"/>
      <c r="AH511" s="7"/>
      <c r="AI511" s="7"/>
      <c r="AS511" s="7"/>
      <c r="AT511" s="7"/>
      <c r="AU511" s="7"/>
      <c r="AV511" s="16"/>
    </row>
    <row r="512" spans="2:46" ht="24" customHeight="1">
      <c r="B512" s="7"/>
      <c r="C512" s="199" t="s">
        <v>398</v>
      </c>
      <c r="D512" s="199"/>
      <c r="E512" s="199"/>
      <c r="F512" s="199"/>
      <c r="G512" s="199"/>
      <c r="H512" s="199"/>
      <c r="I512" s="199"/>
      <c r="J512" s="116" t="s">
        <v>394</v>
      </c>
      <c r="K512" s="116"/>
      <c r="L512" s="116"/>
      <c r="M512" s="4" t="s">
        <v>180</v>
      </c>
      <c r="N512" s="208">
        <f>G408*1000</f>
        <v>6820</v>
      </c>
      <c r="O512" s="208"/>
      <c r="P512" s="208"/>
      <c r="Q512" s="3" t="s">
        <v>399</v>
      </c>
      <c r="Z512" s="3"/>
      <c r="AS512" s="4"/>
      <c r="AT512" s="4"/>
    </row>
    <row r="513" spans="1:48" ht="15.75" customHeight="1">
      <c r="A513" s="23"/>
      <c r="B513" s="7"/>
      <c r="C513" s="199" t="s">
        <v>400</v>
      </c>
      <c r="D513" s="199"/>
      <c r="E513" s="199"/>
      <c r="F513" s="199"/>
      <c r="G513" s="199"/>
      <c r="H513" s="199"/>
      <c r="I513" s="199"/>
      <c r="J513" s="116" t="s">
        <v>1</v>
      </c>
      <c r="K513" s="116"/>
      <c r="L513" s="116"/>
      <c r="M513" s="4" t="s">
        <v>180</v>
      </c>
      <c r="N513" s="208">
        <f>ROUND(L70^2*PI()/4,-2)</f>
        <v>15400</v>
      </c>
      <c r="O513" s="208"/>
      <c r="P513" s="208"/>
      <c r="Q513" s="3" t="s">
        <v>401</v>
      </c>
      <c r="R513" s="7"/>
      <c r="S513" s="16"/>
      <c r="T513" s="7"/>
      <c r="Z513" s="3"/>
      <c r="AC513" s="7"/>
      <c r="AD513" s="7"/>
      <c r="AU513" s="4"/>
      <c r="AV513" s="4"/>
    </row>
    <row r="514" spans="2:40" ht="24" customHeight="1">
      <c r="B514" s="7"/>
      <c r="C514" s="199" t="s">
        <v>402</v>
      </c>
      <c r="D514" s="199"/>
      <c r="E514" s="199"/>
      <c r="F514" s="199"/>
      <c r="G514" s="199"/>
      <c r="H514" s="199"/>
      <c r="I514" s="199"/>
      <c r="J514" s="116" t="s">
        <v>395</v>
      </c>
      <c r="K514" s="116"/>
      <c r="L514" s="116"/>
      <c r="M514" s="4" t="s">
        <v>180</v>
      </c>
      <c r="N514" s="195">
        <f>ABS(U506)*1000*1000</f>
        <v>0</v>
      </c>
      <c r="O514" s="195"/>
      <c r="P514" s="195"/>
      <c r="Q514" s="195"/>
      <c r="R514" s="3" t="s">
        <v>403</v>
      </c>
      <c r="Z514" s="3"/>
      <c r="AJ514" s="7"/>
      <c r="AK514" s="7"/>
      <c r="AL514" s="7"/>
      <c r="AM514" s="7"/>
      <c r="AN514" s="7"/>
    </row>
    <row r="515" spans="1:40" ht="15.75" customHeight="1">
      <c r="A515" s="23"/>
      <c r="B515" s="7"/>
      <c r="C515" s="199" t="s">
        <v>404</v>
      </c>
      <c r="D515" s="199"/>
      <c r="E515" s="199"/>
      <c r="F515" s="199"/>
      <c r="G515" s="199"/>
      <c r="H515" s="199"/>
      <c r="I515" s="199"/>
      <c r="J515" s="116" t="s">
        <v>397</v>
      </c>
      <c r="K515" s="116"/>
      <c r="L515" s="116"/>
      <c r="M515" s="4" t="s">
        <v>180</v>
      </c>
      <c r="N515" s="43" t="s">
        <v>405</v>
      </c>
      <c r="Q515" s="7"/>
      <c r="R515" s="4" t="s">
        <v>180</v>
      </c>
      <c r="S515" s="4" t="s">
        <v>272</v>
      </c>
      <c r="T515" s="12" t="s">
        <v>179</v>
      </c>
      <c r="U515" s="192">
        <f>L70</f>
        <v>140</v>
      </c>
      <c r="V515" s="192"/>
      <c r="W515" s="44">
        <v>3</v>
      </c>
      <c r="X515" s="12" t="s">
        <v>406</v>
      </c>
      <c r="Y515" s="192">
        <v>32</v>
      </c>
      <c r="Z515" s="192"/>
      <c r="AA515" s="4" t="s">
        <v>180</v>
      </c>
      <c r="AB515" s="116">
        <f>ROUND(PI()*U515^W515/Y515,-3)</f>
        <v>269000</v>
      </c>
      <c r="AC515" s="116"/>
      <c r="AD515" s="116"/>
      <c r="AE515" s="3" t="s">
        <v>407</v>
      </c>
      <c r="AF515" s="7"/>
      <c r="AG515" s="7"/>
      <c r="AH515" s="7"/>
      <c r="AI515" s="7"/>
      <c r="AJ515" s="7"/>
      <c r="AK515" s="7"/>
      <c r="AL515" s="7"/>
      <c r="AM515" s="7"/>
      <c r="AN515" s="7"/>
    </row>
    <row r="516" spans="1:40" ht="15.75" customHeight="1">
      <c r="A516" s="23"/>
      <c r="B516" s="7"/>
      <c r="C516" s="7"/>
      <c r="D516" s="7"/>
      <c r="E516" s="7"/>
      <c r="F516" s="7"/>
      <c r="G516" s="16"/>
      <c r="H516" s="7"/>
      <c r="I516" s="7"/>
      <c r="J516" s="16"/>
      <c r="K516" s="16"/>
      <c r="L516" s="7"/>
      <c r="M516" s="7"/>
      <c r="O516" s="43"/>
      <c r="P516" s="43"/>
      <c r="R516" s="16"/>
      <c r="S516" s="7"/>
      <c r="T516" s="7"/>
      <c r="U516" s="16"/>
      <c r="V516" s="16"/>
      <c r="W516" s="16"/>
      <c r="X516" s="7"/>
      <c r="Y516" s="7"/>
      <c r="Z516" s="7"/>
      <c r="AA516" s="7"/>
      <c r="AB516" s="7"/>
      <c r="AC516" s="7"/>
      <c r="AD516" s="7"/>
      <c r="AE516" s="7"/>
      <c r="AF516" s="7"/>
      <c r="AG516" s="7"/>
      <c r="AH516" s="7"/>
      <c r="AI516" s="7"/>
      <c r="AJ516" s="7"/>
      <c r="AK516" s="7"/>
      <c r="AL516" s="7"/>
      <c r="AM516" s="7"/>
      <c r="AN516" s="7"/>
    </row>
    <row r="517" spans="1:40" ht="15.75" customHeight="1">
      <c r="A517" s="23"/>
      <c r="B517" s="7"/>
      <c r="C517" s="116" t="s">
        <v>393</v>
      </c>
      <c r="D517" s="116"/>
      <c r="E517" s="116" t="s">
        <v>180</v>
      </c>
      <c r="F517" s="118" t="s">
        <v>394</v>
      </c>
      <c r="G517" s="118"/>
      <c r="H517" s="118"/>
      <c r="I517" s="207" t="s">
        <v>310</v>
      </c>
      <c r="J517" s="118" t="s">
        <v>395</v>
      </c>
      <c r="K517" s="118"/>
      <c r="L517" s="118"/>
      <c r="M517" s="116" t="s">
        <v>180</v>
      </c>
      <c r="N517" s="118">
        <f>N512</f>
        <v>6820</v>
      </c>
      <c r="O517" s="118"/>
      <c r="P517" s="118"/>
      <c r="Q517" s="207" t="s">
        <v>310</v>
      </c>
      <c r="R517" s="118">
        <f>N514</f>
        <v>0</v>
      </c>
      <c r="S517" s="118"/>
      <c r="T517" s="118"/>
      <c r="U517" s="118"/>
      <c r="V517" s="16"/>
      <c r="W517" s="16"/>
      <c r="X517" s="7"/>
      <c r="Y517" s="7"/>
      <c r="Z517" s="7"/>
      <c r="AA517" s="7"/>
      <c r="AB517" s="7"/>
      <c r="AC517" s="7"/>
      <c r="AD517" s="7"/>
      <c r="AE517" s="7"/>
      <c r="AF517" s="7"/>
      <c r="AG517" s="7"/>
      <c r="AH517" s="7"/>
      <c r="AI517" s="7"/>
      <c r="AJ517" s="7"/>
      <c r="AK517" s="7"/>
      <c r="AL517" s="7"/>
      <c r="AM517" s="7"/>
      <c r="AN517" s="7"/>
    </row>
    <row r="518" spans="1:40" ht="15.75" customHeight="1">
      <c r="A518" s="23"/>
      <c r="B518" s="7"/>
      <c r="C518" s="116"/>
      <c r="D518" s="116"/>
      <c r="E518" s="116"/>
      <c r="F518" s="194" t="s">
        <v>1</v>
      </c>
      <c r="G518" s="194"/>
      <c r="H518" s="194"/>
      <c r="I518" s="207"/>
      <c r="J518" s="194" t="s">
        <v>397</v>
      </c>
      <c r="K518" s="194"/>
      <c r="L518" s="194"/>
      <c r="M518" s="116"/>
      <c r="N518" s="194">
        <f>N513</f>
        <v>15400</v>
      </c>
      <c r="O518" s="194"/>
      <c r="P518" s="194"/>
      <c r="Q518" s="207"/>
      <c r="R518" s="195">
        <f>AB515</f>
        <v>269000</v>
      </c>
      <c r="S518" s="195"/>
      <c r="T518" s="195"/>
      <c r="U518" s="195"/>
      <c r="V518" s="16"/>
      <c r="W518" s="16"/>
      <c r="X518" s="7"/>
      <c r="Y518" s="7"/>
      <c r="Z518" s="7"/>
      <c r="AA518" s="7"/>
      <c r="AB518" s="7"/>
      <c r="AC518" s="7"/>
      <c r="AD518" s="7"/>
      <c r="AE518" s="7"/>
      <c r="AF518" s="7"/>
      <c r="AG518" s="7"/>
      <c r="AH518" s="7"/>
      <c r="AI518" s="7"/>
      <c r="AJ518" s="7"/>
      <c r="AK518" s="7"/>
      <c r="AL518" s="7"/>
      <c r="AM518" s="7"/>
      <c r="AN518" s="7"/>
    </row>
    <row r="519" spans="1:40" ht="15.75" customHeight="1">
      <c r="A519" s="23"/>
      <c r="B519" s="7"/>
      <c r="C519" s="7"/>
      <c r="D519" s="7"/>
      <c r="E519" s="7"/>
      <c r="F519" s="7"/>
      <c r="G519" s="16"/>
      <c r="H519" s="16"/>
      <c r="I519" s="16"/>
      <c r="J519" s="7"/>
      <c r="K519" s="7"/>
      <c r="L519" s="7"/>
      <c r="M519" s="116" t="s">
        <v>180</v>
      </c>
      <c r="N519" s="207">
        <f>ROUND(N517/N518,2)</f>
        <v>0.44</v>
      </c>
      <c r="O519" s="207"/>
      <c r="P519" s="207"/>
      <c r="Q519" s="207" t="s">
        <v>310</v>
      </c>
      <c r="R519" s="207">
        <f>ROUND(R517/R518,2)</f>
        <v>0</v>
      </c>
      <c r="S519" s="207"/>
      <c r="T519" s="207"/>
      <c r="U519" s="16"/>
      <c r="V519" s="16"/>
      <c r="W519" s="16"/>
      <c r="X519" s="7"/>
      <c r="Y519" s="7"/>
      <c r="Z519" s="7"/>
      <c r="AA519" s="7"/>
      <c r="AB519" s="7"/>
      <c r="AC519" s="7"/>
      <c r="AD519" s="7"/>
      <c r="AE519" s="7"/>
      <c r="AF519" s="7"/>
      <c r="AG519" s="7"/>
      <c r="AH519" s="7"/>
      <c r="AI519" s="7"/>
      <c r="AJ519" s="7"/>
      <c r="AK519" s="7"/>
      <c r="AL519" s="7"/>
      <c r="AM519" s="7"/>
      <c r="AN519" s="7"/>
    </row>
    <row r="520" spans="1:41" ht="15.75" customHeight="1">
      <c r="A520" s="23"/>
      <c r="B520" s="7"/>
      <c r="C520" s="7"/>
      <c r="D520" s="7"/>
      <c r="E520" s="7"/>
      <c r="F520" s="7"/>
      <c r="G520" s="16"/>
      <c r="H520" s="16"/>
      <c r="I520" s="16"/>
      <c r="J520" s="7"/>
      <c r="K520" s="7"/>
      <c r="L520" s="7"/>
      <c r="M520" s="116"/>
      <c r="N520" s="207"/>
      <c r="O520" s="207"/>
      <c r="P520" s="207"/>
      <c r="Q520" s="207"/>
      <c r="R520" s="207"/>
      <c r="S520" s="207"/>
      <c r="T520" s="207"/>
      <c r="U520" s="16"/>
      <c r="V520" s="16"/>
      <c r="W520" s="16"/>
      <c r="X520" s="7"/>
      <c r="Y520" s="7"/>
      <c r="Z520" s="7"/>
      <c r="AA520" s="7"/>
      <c r="AB520" s="7"/>
      <c r="AC520" s="7"/>
      <c r="AD520" s="7"/>
      <c r="AE520" s="7"/>
      <c r="AF520" s="7"/>
      <c r="AG520" s="7"/>
      <c r="AH520" s="7"/>
      <c r="AI520" s="7"/>
      <c r="AJ520" s="7"/>
      <c r="AK520" s="7"/>
      <c r="AL520" s="7"/>
      <c r="AM520" s="7"/>
      <c r="AN520" s="7"/>
      <c r="AO520" s="7"/>
    </row>
    <row r="521" spans="1:41" ht="15.75" customHeight="1">
      <c r="A521" s="23"/>
      <c r="B521" s="7"/>
      <c r="C521" s="7"/>
      <c r="D521" s="7"/>
      <c r="E521" s="7"/>
      <c r="F521" s="7"/>
      <c r="G521" s="16"/>
      <c r="H521" s="16"/>
      <c r="I521" s="16"/>
      <c r="J521" s="7"/>
      <c r="K521" s="7"/>
      <c r="L521" s="7"/>
      <c r="M521" s="116" t="s">
        <v>180</v>
      </c>
      <c r="N521" s="207" t="s">
        <v>311</v>
      </c>
      <c r="O521" s="207">
        <f>ROUND(N519+R519,2)</f>
        <v>0.44</v>
      </c>
      <c r="P521" s="207"/>
      <c r="Q521" s="207"/>
      <c r="R521" s="207" t="s">
        <v>312</v>
      </c>
      <c r="S521" s="120" t="s">
        <v>408</v>
      </c>
      <c r="T521" s="120"/>
      <c r="U521" s="120"/>
      <c r="V521" s="17" t="s">
        <v>409</v>
      </c>
      <c r="W521" s="16"/>
      <c r="X521" s="16"/>
      <c r="Y521" s="16"/>
      <c r="Z521" s="7"/>
      <c r="AA521" s="7"/>
      <c r="AB521" s="7"/>
      <c r="AC521" s="7"/>
      <c r="AD521" s="7"/>
      <c r="AE521" s="7"/>
      <c r="AF521" s="7"/>
      <c r="AG521" s="7"/>
      <c r="AH521" s="7"/>
      <c r="AI521" s="7"/>
      <c r="AJ521" s="7"/>
      <c r="AK521" s="7"/>
      <c r="AL521" s="7"/>
      <c r="AM521" s="7"/>
      <c r="AN521" s="7"/>
      <c r="AO521" s="7"/>
    </row>
    <row r="522" spans="1:40" ht="15.75" customHeight="1">
      <c r="A522" s="23"/>
      <c r="B522" s="7"/>
      <c r="C522" s="7"/>
      <c r="D522" s="7"/>
      <c r="E522" s="7"/>
      <c r="F522" s="7"/>
      <c r="G522" s="16"/>
      <c r="H522" s="16"/>
      <c r="I522" s="16"/>
      <c r="J522" s="7"/>
      <c r="K522" s="7"/>
      <c r="L522" s="7"/>
      <c r="M522" s="116"/>
      <c r="N522" s="207"/>
      <c r="O522" s="207">
        <f>ROUND(N519-R519,2)</f>
        <v>0.44</v>
      </c>
      <c r="P522" s="207"/>
      <c r="Q522" s="207"/>
      <c r="R522" s="207"/>
      <c r="S522" s="120"/>
      <c r="T522" s="120"/>
      <c r="U522" s="120"/>
      <c r="V522" s="17" t="str">
        <f>IF(O522&gt;0,"（曲げ圧縮応力度）","（曲げ引張応力度）")</f>
        <v>（曲げ圧縮応力度）</v>
      </c>
      <c r="W522" s="16"/>
      <c r="X522" s="16"/>
      <c r="Y522" s="16"/>
      <c r="Z522" s="7"/>
      <c r="AA522" s="7"/>
      <c r="AB522" s="7"/>
      <c r="AC522" s="7"/>
      <c r="AD522" s="7"/>
      <c r="AE522" s="7"/>
      <c r="AF522" s="7"/>
      <c r="AG522" s="7"/>
      <c r="AH522" s="7"/>
      <c r="AI522" s="7"/>
      <c r="AJ522" s="7"/>
      <c r="AK522" s="7"/>
      <c r="AL522" s="7"/>
      <c r="AM522" s="7"/>
      <c r="AN522" s="7"/>
    </row>
    <row r="523" spans="1:40" ht="15.75" customHeight="1">
      <c r="A523" s="23"/>
      <c r="B523" s="7"/>
      <c r="C523" s="7"/>
      <c r="D523" s="7"/>
      <c r="E523" s="7"/>
      <c r="F523" s="7"/>
      <c r="G523" s="16"/>
      <c r="H523" s="16"/>
      <c r="I523" s="16"/>
      <c r="J523" s="7"/>
      <c r="K523" s="7"/>
      <c r="L523" s="7"/>
      <c r="M523" s="17"/>
      <c r="N523" s="7"/>
      <c r="O523" s="7"/>
      <c r="P523" s="16"/>
      <c r="Q523" s="7"/>
      <c r="R523" s="7"/>
      <c r="S523" s="7"/>
      <c r="T523" s="7"/>
      <c r="U523" s="16"/>
      <c r="V523" s="16"/>
      <c r="W523" s="16"/>
      <c r="X523" s="7"/>
      <c r="Y523" s="7"/>
      <c r="Z523" s="7"/>
      <c r="AA523" s="7"/>
      <c r="AB523" s="7"/>
      <c r="AC523" s="7"/>
      <c r="AD523" s="7"/>
      <c r="AE523" s="7"/>
      <c r="AF523" s="7"/>
      <c r="AG523" s="7"/>
      <c r="AH523" s="7"/>
      <c r="AI523" s="7"/>
      <c r="AJ523" s="7"/>
      <c r="AK523" s="7"/>
      <c r="AL523" s="7"/>
      <c r="AM523" s="7"/>
      <c r="AN523" s="7"/>
    </row>
    <row r="524" spans="1:40" ht="15.75" customHeight="1">
      <c r="A524" s="23"/>
      <c r="B524" s="7" t="s">
        <v>410</v>
      </c>
      <c r="D524" s="4"/>
      <c r="E524" s="4"/>
      <c r="F524" s="7"/>
      <c r="G524" s="16"/>
      <c r="H524" s="16"/>
      <c r="I524" s="16"/>
      <c r="J524" s="7"/>
      <c r="K524" s="7"/>
      <c r="L524" s="7"/>
      <c r="M524" s="17"/>
      <c r="N524" s="7"/>
      <c r="O524" s="7"/>
      <c r="P524" s="16"/>
      <c r="Q524" s="7"/>
      <c r="R524" s="7"/>
      <c r="S524" s="7"/>
      <c r="T524" s="7"/>
      <c r="U524" s="16"/>
      <c r="V524" s="16"/>
      <c r="W524" s="16"/>
      <c r="X524" s="7"/>
      <c r="Y524" s="7"/>
      <c r="Z524" s="7"/>
      <c r="AA524" s="7"/>
      <c r="AB524" s="7"/>
      <c r="AC524" s="7"/>
      <c r="AD524" s="7"/>
      <c r="AE524" s="7"/>
      <c r="AF524" s="7"/>
      <c r="AG524" s="7"/>
      <c r="AH524" s="7"/>
      <c r="AI524" s="7"/>
      <c r="AJ524" s="7"/>
      <c r="AK524" s="7"/>
      <c r="AL524" s="7"/>
      <c r="AM524" s="7"/>
      <c r="AN524" s="7"/>
    </row>
    <row r="525" spans="1:40" ht="15.75" customHeight="1">
      <c r="A525" s="23"/>
      <c r="B525" s="7"/>
      <c r="C525" s="116" t="s">
        <v>393</v>
      </c>
      <c r="D525" s="116"/>
      <c r="E525" s="116" t="s">
        <v>180</v>
      </c>
      <c r="F525" s="118" t="s">
        <v>394</v>
      </c>
      <c r="G525" s="118"/>
      <c r="H525" s="118"/>
      <c r="I525" s="207" t="s">
        <v>310</v>
      </c>
      <c r="J525" s="118" t="s">
        <v>395</v>
      </c>
      <c r="K525" s="118"/>
      <c r="L525" s="118"/>
      <c r="M525" s="17"/>
      <c r="N525" s="7"/>
      <c r="O525" s="7"/>
      <c r="P525" s="16"/>
      <c r="Q525" s="7"/>
      <c r="R525" s="7"/>
      <c r="S525" s="7"/>
      <c r="T525" s="7"/>
      <c r="U525" s="16"/>
      <c r="V525" s="16"/>
      <c r="W525" s="16"/>
      <c r="X525" s="7"/>
      <c r="Y525" s="200" t="s">
        <v>396</v>
      </c>
      <c r="Z525" s="200"/>
      <c r="AA525" s="200"/>
      <c r="AB525" s="200"/>
      <c r="AC525" s="200"/>
      <c r="AD525" s="200"/>
      <c r="AE525" s="7"/>
      <c r="AF525" s="7"/>
      <c r="AG525" s="7"/>
      <c r="AH525" s="7"/>
      <c r="AI525" s="7"/>
      <c r="AJ525" s="7"/>
      <c r="AK525" s="7"/>
      <c r="AL525" s="7"/>
      <c r="AM525" s="7"/>
      <c r="AN525" s="7"/>
    </row>
    <row r="526" spans="1:40" ht="15.75" customHeight="1">
      <c r="A526" s="23"/>
      <c r="B526" s="7"/>
      <c r="C526" s="116"/>
      <c r="D526" s="116"/>
      <c r="E526" s="116"/>
      <c r="F526" s="194" t="s">
        <v>1</v>
      </c>
      <c r="G526" s="194"/>
      <c r="H526" s="194"/>
      <c r="I526" s="207"/>
      <c r="J526" s="194" t="s">
        <v>397</v>
      </c>
      <c r="K526" s="194"/>
      <c r="L526" s="194"/>
      <c r="M526" s="17"/>
      <c r="N526" s="7"/>
      <c r="O526" s="7"/>
      <c r="P526" s="16"/>
      <c r="Q526" s="7"/>
      <c r="R526" s="7"/>
      <c r="S526" s="7"/>
      <c r="T526" s="7"/>
      <c r="U526" s="16"/>
      <c r="V526" s="16"/>
      <c r="W526" s="16"/>
      <c r="X526" s="7"/>
      <c r="Y526" s="200"/>
      <c r="Z526" s="200"/>
      <c r="AA526" s="200"/>
      <c r="AB526" s="200"/>
      <c r="AC526" s="200"/>
      <c r="AD526" s="200"/>
      <c r="AE526" s="7"/>
      <c r="AF526" s="7"/>
      <c r="AG526" s="7"/>
      <c r="AH526" s="7"/>
      <c r="AI526" s="7"/>
      <c r="AJ526" s="7"/>
      <c r="AK526" s="7"/>
      <c r="AL526" s="7"/>
      <c r="AM526" s="7"/>
      <c r="AN526" s="7"/>
    </row>
    <row r="527" spans="1:35" ht="15.75" customHeight="1">
      <c r="A527" s="23"/>
      <c r="B527" s="7"/>
      <c r="C527" s="7"/>
      <c r="D527" s="7"/>
      <c r="E527" s="7"/>
      <c r="F527" s="7"/>
      <c r="G527" s="16"/>
      <c r="H527" s="16"/>
      <c r="I527" s="16"/>
      <c r="J527" s="7"/>
      <c r="K527" s="7"/>
      <c r="L527" s="7"/>
      <c r="M527" s="17"/>
      <c r="N527" s="7"/>
      <c r="O527" s="7"/>
      <c r="P527" s="16"/>
      <c r="Q527" s="7"/>
      <c r="R527" s="7"/>
      <c r="S527" s="7"/>
      <c r="T527" s="7"/>
      <c r="U527" s="16"/>
      <c r="V527" s="16"/>
      <c r="W527" s="16"/>
      <c r="X527" s="7"/>
      <c r="Y527" s="7"/>
      <c r="Z527" s="7"/>
      <c r="AA527" s="7"/>
      <c r="AB527" s="7"/>
      <c r="AC527" s="7"/>
      <c r="AD527" s="7"/>
      <c r="AE527" s="7"/>
      <c r="AF527" s="7"/>
      <c r="AG527" s="7"/>
      <c r="AH527" s="7"/>
      <c r="AI527" s="7"/>
    </row>
    <row r="528" spans="2:40" ht="24" customHeight="1">
      <c r="B528" s="7"/>
      <c r="C528" s="199" t="s">
        <v>398</v>
      </c>
      <c r="D528" s="199"/>
      <c r="E528" s="199"/>
      <c r="F528" s="199"/>
      <c r="G528" s="199"/>
      <c r="H528" s="199"/>
      <c r="I528" s="199"/>
      <c r="J528" s="116" t="s">
        <v>394</v>
      </c>
      <c r="K528" s="116"/>
      <c r="L528" s="116"/>
      <c r="M528" s="4" t="s">
        <v>180</v>
      </c>
      <c r="N528" s="208">
        <f>G409*1000</f>
        <v>2820</v>
      </c>
      <c r="O528" s="208"/>
      <c r="P528" s="208"/>
      <c r="Q528" s="3" t="s">
        <v>399</v>
      </c>
      <c r="Z528" s="3"/>
      <c r="AJ528" s="7"/>
      <c r="AK528" s="7"/>
      <c r="AL528" s="7"/>
      <c r="AM528" s="7"/>
      <c r="AN528" s="7"/>
    </row>
    <row r="529" spans="1:35" ht="15.75" customHeight="1">
      <c r="A529" s="23"/>
      <c r="B529" s="7"/>
      <c r="C529" s="199" t="s">
        <v>400</v>
      </c>
      <c r="D529" s="199"/>
      <c r="E529" s="199"/>
      <c r="F529" s="199"/>
      <c r="G529" s="199"/>
      <c r="H529" s="199"/>
      <c r="I529" s="199"/>
      <c r="J529" s="116" t="s">
        <v>1</v>
      </c>
      <c r="K529" s="116"/>
      <c r="L529" s="116"/>
      <c r="M529" s="4" t="s">
        <v>180</v>
      </c>
      <c r="N529" s="208">
        <f>N513</f>
        <v>15400</v>
      </c>
      <c r="O529" s="208"/>
      <c r="P529" s="208"/>
      <c r="Q529" s="3" t="s">
        <v>401</v>
      </c>
      <c r="R529" s="7"/>
      <c r="S529" s="16"/>
      <c r="T529" s="7"/>
      <c r="U529" s="16"/>
      <c r="V529" s="16"/>
      <c r="W529" s="16"/>
      <c r="X529" s="7"/>
      <c r="Y529" s="7"/>
      <c r="Z529" s="7"/>
      <c r="AA529" s="7"/>
      <c r="AH529" s="7"/>
      <c r="AI529" s="7"/>
    </row>
    <row r="530" spans="2:40" ht="24" customHeight="1">
      <c r="B530" s="7"/>
      <c r="C530" s="199" t="s">
        <v>402</v>
      </c>
      <c r="D530" s="199"/>
      <c r="E530" s="199"/>
      <c r="F530" s="199"/>
      <c r="G530" s="199"/>
      <c r="H530" s="199"/>
      <c r="I530" s="199"/>
      <c r="J530" s="116" t="s">
        <v>395</v>
      </c>
      <c r="K530" s="116"/>
      <c r="L530" s="116"/>
      <c r="M530" s="4" t="s">
        <v>180</v>
      </c>
      <c r="N530" s="195">
        <f>N514</f>
        <v>0</v>
      </c>
      <c r="O530" s="195"/>
      <c r="P530" s="195"/>
      <c r="Q530" s="195"/>
      <c r="R530" s="3" t="s">
        <v>403</v>
      </c>
      <c r="Z530" s="3"/>
      <c r="AJ530" s="7"/>
      <c r="AK530" s="7"/>
      <c r="AL530" s="7"/>
      <c r="AM530" s="7"/>
      <c r="AN530" s="7"/>
    </row>
    <row r="531" spans="1:40" ht="15.75" customHeight="1">
      <c r="A531" s="23"/>
      <c r="B531" s="7"/>
      <c r="C531" s="199" t="s">
        <v>404</v>
      </c>
      <c r="D531" s="199"/>
      <c r="E531" s="199"/>
      <c r="F531" s="199"/>
      <c r="G531" s="199"/>
      <c r="H531" s="199"/>
      <c r="I531" s="199"/>
      <c r="J531" s="116" t="s">
        <v>397</v>
      </c>
      <c r="K531" s="116"/>
      <c r="L531" s="116"/>
      <c r="M531" s="4" t="s">
        <v>180</v>
      </c>
      <c r="N531" s="43" t="s">
        <v>405</v>
      </c>
      <c r="O531" s="43"/>
      <c r="Q531" s="7"/>
      <c r="R531" s="4" t="s">
        <v>180</v>
      </c>
      <c r="S531" s="4" t="s">
        <v>272</v>
      </c>
      <c r="T531" s="12" t="s">
        <v>179</v>
      </c>
      <c r="U531" s="192">
        <f>U515</f>
        <v>140</v>
      </c>
      <c r="V531" s="192"/>
      <c r="W531" s="44">
        <v>3</v>
      </c>
      <c r="X531" s="12" t="s">
        <v>406</v>
      </c>
      <c r="Y531" s="192">
        <v>32</v>
      </c>
      <c r="Z531" s="192"/>
      <c r="AA531" s="4" t="s">
        <v>180</v>
      </c>
      <c r="AB531" s="116">
        <f>ROUND(PI()*U531^W531/Y531,-3)</f>
        <v>269000</v>
      </c>
      <c r="AC531" s="116"/>
      <c r="AD531" s="116"/>
      <c r="AE531" s="3" t="s">
        <v>407</v>
      </c>
      <c r="AF531" s="7"/>
      <c r="AG531" s="7"/>
      <c r="AH531" s="7"/>
      <c r="AI531" s="7"/>
      <c r="AJ531" s="7"/>
      <c r="AK531" s="7"/>
      <c r="AL531" s="7"/>
      <c r="AM531" s="7"/>
      <c r="AN531" s="7"/>
    </row>
    <row r="532" spans="1:40" ht="15.75" customHeight="1">
      <c r="A532" s="23"/>
      <c r="B532" s="7"/>
      <c r="C532" s="7"/>
      <c r="D532" s="7"/>
      <c r="E532" s="7"/>
      <c r="F532" s="7"/>
      <c r="G532" s="16"/>
      <c r="H532" s="7"/>
      <c r="I532" s="7"/>
      <c r="J532" s="16"/>
      <c r="K532" s="16"/>
      <c r="L532" s="7"/>
      <c r="M532" s="7"/>
      <c r="O532" s="17"/>
      <c r="P532" s="7"/>
      <c r="Q532" s="7"/>
      <c r="R532" s="16"/>
      <c r="S532" s="7"/>
      <c r="T532" s="7"/>
      <c r="U532" s="16"/>
      <c r="V532" s="16"/>
      <c r="W532" s="16"/>
      <c r="X532" s="7"/>
      <c r="Y532" s="7"/>
      <c r="Z532" s="7"/>
      <c r="AA532" s="7"/>
      <c r="AB532" s="7"/>
      <c r="AC532" s="7"/>
      <c r="AD532" s="7"/>
      <c r="AE532" s="7"/>
      <c r="AF532" s="7"/>
      <c r="AG532" s="7"/>
      <c r="AH532" s="7"/>
      <c r="AI532" s="7"/>
      <c r="AJ532" s="7"/>
      <c r="AK532" s="7"/>
      <c r="AL532" s="7"/>
      <c r="AM532" s="7"/>
      <c r="AN532" s="7"/>
    </row>
    <row r="533" spans="1:40" ht="15.75" customHeight="1">
      <c r="A533" s="23"/>
      <c r="B533" s="7"/>
      <c r="C533" s="116" t="s">
        <v>393</v>
      </c>
      <c r="D533" s="116"/>
      <c r="E533" s="116" t="s">
        <v>180</v>
      </c>
      <c r="F533" s="118" t="s">
        <v>394</v>
      </c>
      <c r="G533" s="118"/>
      <c r="H533" s="118"/>
      <c r="I533" s="207" t="s">
        <v>310</v>
      </c>
      <c r="J533" s="118" t="s">
        <v>395</v>
      </c>
      <c r="K533" s="118"/>
      <c r="L533" s="118"/>
      <c r="M533" s="116" t="s">
        <v>180</v>
      </c>
      <c r="N533" s="118">
        <f>N528</f>
        <v>2820</v>
      </c>
      <c r="O533" s="118"/>
      <c r="P533" s="118"/>
      <c r="Q533" s="207" t="s">
        <v>310</v>
      </c>
      <c r="R533" s="118">
        <f>N530</f>
        <v>0</v>
      </c>
      <c r="S533" s="118"/>
      <c r="T533" s="118"/>
      <c r="U533" s="118"/>
      <c r="V533" s="16"/>
      <c r="W533" s="16"/>
      <c r="X533" s="7"/>
      <c r="Y533" s="7"/>
      <c r="Z533" s="7"/>
      <c r="AA533" s="7"/>
      <c r="AB533" s="7"/>
      <c r="AC533" s="7"/>
      <c r="AD533" s="7"/>
      <c r="AE533" s="7"/>
      <c r="AF533" s="7"/>
      <c r="AG533" s="7"/>
      <c r="AH533" s="7"/>
      <c r="AI533" s="7"/>
      <c r="AJ533" s="7"/>
      <c r="AK533" s="7"/>
      <c r="AL533" s="7"/>
      <c r="AM533" s="7"/>
      <c r="AN533" s="7"/>
    </row>
    <row r="534" spans="1:40" ht="15.75" customHeight="1">
      <c r="A534" s="23"/>
      <c r="B534" s="7"/>
      <c r="C534" s="116"/>
      <c r="D534" s="116"/>
      <c r="E534" s="116"/>
      <c r="F534" s="194" t="s">
        <v>1</v>
      </c>
      <c r="G534" s="194"/>
      <c r="H534" s="194"/>
      <c r="I534" s="207"/>
      <c r="J534" s="194" t="s">
        <v>397</v>
      </c>
      <c r="K534" s="194"/>
      <c r="L534" s="194"/>
      <c r="M534" s="116"/>
      <c r="N534" s="194">
        <f>N529</f>
        <v>15400</v>
      </c>
      <c r="O534" s="194"/>
      <c r="P534" s="194"/>
      <c r="Q534" s="207"/>
      <c r="R534" s="195">
        <f>AB531</f>
        <v>269000</v>
      </c>
      <c r="S534" s="195"/>
      <c r="T534" s="195"/>
      <c r="U534" s="195"/>
      <c r="V534" s="16"/>
      <c r="W534" s="16"/>
      <c r="X534" s="7"/>
      <c r="Y534" s="7"/>
      <c r="Z534" s="7"/>
      <c r="AA534" s="7"/>
      <c r="AB534" s="7"/>
      <c r="AC534" s="7"/>
      <c r="AD534" s="7"/>
      <c r="AE534" s="7"/>
      <c r="AF534" s="7"/>
      <c r="AG534" s="7"/>
      <c r="AH534" s="7"/>
      <c r="AI534" s="7"/>
      <c r="AJ534" s="7"/>
      <c r="AK534" s="7"/>
      <c r="AL534" s="7"/>
      <c r="AM534" s="7"/>
      <c r="AN534" s="7"/>
    </row>
    <row r="535" spans="1:40" ht="15.75" customHeight="1">
      <c r="A535" s="23"/>
      <c r="B535" s="7"/>
      <c r="C535" s="7"/>
      <c r="D535" s="7"/>
      <c r="E535" s="7"/>
      <c r="F535" s="7"/>
      <c r="G535" s="16"/>
      <c r="H535" s="16"/>
      <c r="I535" s="16"/>
      <c r="J535" s="7"/>
      <c r="K535" s="7"/>
      <c r="L535" s="7"/>
      <c r="M535" s="116" t="s">
        <v>180</v>
      </c>
      <c r="N535" s="207">
        <f>ROUND(N533/N534,2)</f>
        <v>0.18</v>
      </c>
      <c r="O535" s="207"/>
      <c r="P535" s="207"/>
      <c r="Q535" s="207" t="s">
        <v>310</v>
      </c>
      <c r="R535" s="207">
        <f>ROUND(R533/R534,2)</f>
        <v>0</v>
      </c>
      <c r="S535" s="207"/>
      <c r="T535" s="207"/>
      <c r="U535" s="16"/>
      <c r="V535" s="16"/>
      <c r="W535" s="16"/>
      <c r="X535" s="7"/>
      <c r="Y535" s="7"/>
      <c r="Z535" s="7"/>
      <c r="AA535" s="7"/>
      <c r="AB535" s="7"/>
      <c r="AC535" s="7"/>
      <c r="AD535" s="7"/>
      <c r="AE535" s="7"/>
      <c r="AF535" s="7"/>
      <c r="AG535" s="7"/>
      <c r="AH535" s="7"/>
      <c r="AI535" s="7"/>
      <c r="AJ535" s="7"/>
      <c r="AK535" s="7"/>
      <c r="AL535" s="7"/>
      <c r="AM535" s="7"/>
      <c r="AN535" s="7"/>
    </row>
    <row r="536" spans="1:41" ht="15.75" customHeight="1">
      <c r="A536" s="23"/>
      <c r="B536" s="7"/>
      <c r="C536" s="7"/>
      <c r="D536" s="7"/>
      <c r="E536" s="7"/>
      <c r="F536" s="7"/>
      <c r="G536" s="16"/>
      <c r="H536" s="16"/>
      <c r="I536" s="16"/>
      <c r="J536" s="7"/>
      <c r="K536" s="7"/>
      <c r="L536" s="7"/>
      <c r="M536" s="116"/>
      <c r="N536" s="207"/>
      <c r="O536" s="207"/>
      <c r="P536" s="207"/>
      <c r="Q536" s="207"/>
      <c r="R536" s="207"/>
      <c r="S536" s="207"/>
      <c r="T536" s="207"/>
      <c r="U536" s="16"/>
      <c r="V536" s="16"/>
      <c r="W536" s="16"/>
      <c r="X536" s="7"/>
      <c r="Y536" s="7"/>
      <c r="Z536" s="7"/>
      <c r="AA536" s="7"/>
      <c r="AB536" s="7"/>
      <c r="AC536" s="7"/>
      <c r="AD536" s="7"/>
      <c r="AE536" s="7"/>
      <c r="AF536" s="7"/>
      <c r="AG536" s="7"/>
      <c r="AH536" s="7"/>
      <c r="AI536" s="7"/>
      <c r="AJ536" s="7"/>
      <c r="AK536" s="7"/>
      <c r="AL536" s="7"/>
      <c r="AM536" s="7"/>
      <c r="AN536" s="7"/>
      <c r="AO536" s="7"/>
    </row>
    <row r="537" spans="1:41" ht="15.75" customHeight="1">
      <c r="A537" s="23"/>
      <c r="B537" s="7"/>
      <c r="C537" s="7"/>
      <c r="D537" s="7"/>
      <c r="E537" s="7"/>
      <c r="F537" s="7"/>
      <c r="G537" s="16"/>
      <c r="H537" s="16"/>
      <c r="I537" s="16"/>
      <c r="J537" s="7"/>
      <c r="K537" s="7"/>
      <c r="L537" s="7"/>
      <c r="M537" s="116" t="s">
        <v>180</v>
      </c>
      <c r="N537" s="207" t="s">
        <v>311</v>
      </c>
      <c r="O537" s="207">
        <f>ROUND(N535+R535,2)</f>
        <v>0.18</v>
      </c>
      <c r="P537" s="207"/>
      <c r="Q537" s="207"/>
      <c r="R537" s="207" t="s">
        <v>312</v>
      </c>
      <c r="S537" s="120" t="s">
        <v>408</v>
      </c>
      <c r="T537" s="120"/>
      <c r="U537" s="120"/>
      <c r="V537" s="17" t="s">
        <v>409</v>
      </c>
      <c r="W537" s="16"/>
      <c r="X537" s="16"/>
      <c r="Y537" s="16"/>
      <c r="Z537" s="7"/>
      <c r="AA537" s="7"/>
      <c r="AB537" s="7"/>
      <c r="AC537" s="7"/>
      <c r="AD537" s="7"/>
      <c r="AE537" s="7"/>
      <c r="AF537" s="7"/>
      <c r="AG537" s="7"/>
      <c r="AH537" s="7"/>
      <c r="AI537" s="7"/>
      <c r="AJ537" s="7"/>
      <c r="AK537" s="7"/>
      <c r="AL537" s="7"/>
      <c r="AM537" s="7"/>
      <c r="AN537" s="7"/>
      <c r="AO537" s="7"/>
    </row>
    <row r="538" spans="1:40" ht="15.75" customHeight="1">
      <c r="A538" s="23"/>
      <c r="B538" s="7"/>
      <c r="C538" s="7"/>
      <c r="D538" s="7"/>
      <c r="E538" s="7"/>
      <c r="F538" s="7"/>
      <c r="G538" s="16"/>
      <c r="H538" s="16"/>
      <c r="I538" s="16"/>
      <c r="J538" s="7"/>
      <c r="K538" s="7"/>
      <c r="L538" s="7"/>
      <c r="M538" s="116"/>
      <c r="N538" s="207"/>
      <c r="O538" s="207">
        <f>ROUND(N535-R535,2)</f>
        <v>0.18</v>
      </c>
      <c r="P538" s="207"/>
      <c r="Q538" s="207"/>
      <c r="R538" s="207"/>
      <c r="S538" s="120"/>
      <c r="T538" s="120"/>
      <c r="U538" s="120"/>
      <c r="V538" s="17" t="str">
        <f>IF(O538&gt;0,"（曲げ圧縮応力度）","（曲げ引張応力度）")</f>
        <v>（曲げ圧縮応力度）</v>
      </c>
      <c r="W538" s="16"/>
      <c r="X538" s="16"/>
      <c r="Y538" s="16"/>
      <c r="Z538" s="7"/>
      <c r="AA538" s="7"/>
      <c r="AB538" s="7"/>
      <c r="AC538" s="7"/>
      <c r="AD538" s="7"/>
      <c r="AE538" s="7"/>
      <c r="AF538" s="7"/>
      <c r="AG538" s="7"/>
      <c r="AH538" s="7"/>
      <c r="AI538" s="7"/>
      <c r="AJ538" s="7"/>
      <c r="AK538" s="7"/>
      <c r="AL538" s="7"/>
      <c r="AM538" s="7"/>
      <c r="AN538" s="7"/>
    </row>
    <row r="539" spans="1:40" ht="15.75" customHeight="1">
      <c r="A539" s="23"/>
      <c r="B539" s="7"/>
      <c r="C539" s="7"/>
      <c r="D539" s="7"/>
      <c r="E539" s="7"/>
      <c r="F539" s="7"/>
      <c r="G539" s="16"/>
      <c r="H539" s="16"/>
      <c r="I539" s="16"/>
      <c r="J539" s="7"/>
      <c r="K539" s="7"/>
      <c r="L539" s="7"/>
      <c r="M539" s="17"/>
      <c r="N539" s="7"/>
      <c r="O539" s="7"/>
      <c r="P539" s="16"/>
      <c r="Q539" s="7"/>
      <c r="R539" s="7"/>
      <c r="S539" s="7"/>
      <c r="T539" s="7"/>
      <c r="U539" s="16"/>
      <c r="V539" s="16"/>
      <c r="W539" s="16"/>
      <c r="X539" s="7"/>
      <c r="Y539" s="7"/>
      <c r="Z539" s="7"/>
      <c r="AA539" s="7"/>
      <c r="AB539" s="7"/>
      <c r="AC539" s="7"/>
      <c r="AD539" s="7"/>
      <c r="AE539" s="7"/>
      <c r="AF539" s="7"/>
      <c r="AG539" s="7"/>
      <c r="AH539" s="7"/>
      <c r="AI539" s="7"/>
      <c r="AJ539" s="7"/>
      <c r="AK539" s="7"/>
      <c r="AL539" s="7"/>
      <c r="AM539" s="7"/>
      <c r="AN539" s="7"/>
    </row>
    <row r="540" spans="1:40" ht="15.75" customHeight="1">
      <c r="A540" s="23" t="s">
        <v>411</v>
      </c>
      <c r="B540" s="7"/>
      <c r="D540" s="4"/>
      <c r="E540" s="4"/>
      <c r="F540" s="38"/>
      <c r="G540" s="38"/>
      <c r="H540" s="38"/>
      <c r="J540" s="4"/>
      <c r="M540" s="17"/>
      <c r="N540" s="7"/>
      <c r="O540" s="7"/>
      <c r="P540" s="16"/>
      <c r="Q540" s="4"/>
      <c r="R540" s="4"/>
      <c r="S540" s="4"/>
      <c r="T540" s="4"/>
      <c r="U540" s="38"/>
      <c r="V540" s="38"/>
      <c r="W540" s="38"/>
      <c r="Z540" s="9"/>
      <c r="AA540" s="9"/>
      <c r="AB540" s="7"/>
      <c r="AC540" s="7"/>
      <c r="AD540" s="7"/>
      <c r="AE540" s="7"/>
      <c r="AF540" s="7"/>
      <c r="AG540" s="7"/>
      <c r="AH540" s="7"/>
      <c r="AI540" s="7"/>
      <c r="AJ540" s="7"/>
      <c r="AK540" s="7"/>
      <c r="AL540" s="7"/>
      <c r="AM540" s="7"/>
      <c r="AN540" s="7"/>
    </row>
    <row r="541" spans="1:40" ht="15.75" customHeight="1">
      <c r="A541" s="23"/>
      <c r="B541" s="7"/>
      <c r="D541" s="4"/>
      <c r="E541" s="4"/>
      <c r="F541" s="38"/>
      <c r="G541" s="38"/>
      <c r="H541" s="38"/>
      <c r="J541" s="4"/>
      <c r="M541" s="17"/>
      <c r="N541" s="7"/>
      <c r="O541" s="7"/>
      <c r="P541" s="16"/>
      <c r="Q541" s="4"/>
      <c r="R541" s="4"/>
      <c r="S541" s="4"/>
      <c r="T541" s="4"/>
      <c r="U541" s="38"/>
      <c r="V541" s="38"/>
      <c r="W541" s="38"/>
      <c r="Z541" s="9"/>
      <c r="AA541" s="9"/>
      <c r="AB541" s="7"/>
      <c r="AC541" s="7"/>
      <c r="AD541" s="7"/>
      <c r="AE541" s="7"/>
      <c r="AF541" s="7"/>
      <c r="AG541" s="7"/>
      <c r="AH541" s="7"/>
      <c r="AI541" s="7"/>
      <c r="AJ541" s="7"/>
      <c r="AK541" s="7"/>
      <c r="AL541" s="7"/>
      <c r="AM541" s="7"/>
      <c r="AN541" s="7"/>
    </row>
    <row r="542" spans="1:40" ht="15.75" customHeight="1">
      <c r="A542" s="23"/>
      <c r="B542" s="7" t="s">
        <v>344</v>
      </c>
      <c r="D542" s="4"/>
      <c r="E542" s="4"/>
      <c r="F542" s="38"/>
      <c r="G542" s="38"/>
      <c r="H542" s="38"/>
      <c r="J542" s="4"/>
      <c r="M542" s="17"/>
      <c r="N542" s="7"/>
      <c r="O542" s="7"/>
      <c r="P542" s="16"/>
      <c r="Q542" s="4"/>
      <c r="R542" s="4"/>
      <c r="S542" s="4"/>
      <c r="T542" s="4"/>
      <c r="U542" s="38"/>
      <c r="V542" s="38"/>
      <c r="W542" s="38"/>
      <c r="Z542" s="9"/>
      <c r="AA542" s="9"/>
      <c r="AB542" s="7"/>
      <c r="AC542" s="7"/>
      <c r="AD542" s="7"/>
      <c r="AE542" s="7"/>
      <c r="AF542" s="7"/>
      <c r="AG542" s="7"/>
      <c r="AH542" s="7"/>
      <c r="AI542" s="7"/>
      <c r="AJ542" s="7"/>
      <c r="AK542" s="7"/>
      <c r="AL542" s="7"/>
      <c r="AM542" s="7"/>
      <c r="AN542" s="7"/>
    </row>
    <row r="543" spans="1:40" ht="15.75" customHeight="1">
      <c r="A543" s="23"/>
      <c r="B543" s="7"/>
      <c r="C543" s="116" t="s">
        <v>345</v>
      </c>
      <c r="D543" s="116"/>
      <c r="E543" s="4" t="s">
        <v>180</v>
      </c>
      <c r="F543" s="7" t="s">
        <v>346</v>
      </c>
      <c r="G543" s="38"/>
      <c r="H543" s="38"/>
      <c r="J543" s="4" t="s">
        <v>180</v>
      </c>
      <c r="K543" s="155">
        <f>M180</f>
        <v>6.51</v>
      </c>
      <c r="L543" s="155"/>
      <c r="M543" s="155"/>
      <c r="N543" s="4" t="s">
        <v>185</v>
      </c>
      <c r="O543" s="155">
        <f>N454</f>
        <v>7.65</v>
      </c>
      <c r="P543" s="155"/>
      <c r="Q543" s="155"/>
      <c r="R543" s="4" t="s">
        <v>180</v>
      </c>
      <c r="S543" s="155">
        <f>IF(K543-O543&lt;0,0,ROUND(K543-O543,2))</f>
        <v>0</v>
      </c>
      <c r="T543" s="155"/>
      <c r="U543" s="155"/>
      <c r="V543" s="3" t="s">
        <v>335</v>
      </c>
      <c r="Z543" s="9"/>
      <c r="AA543" s="9"/>
      <c r="AB543" s="7" t="s">
        <v>347</v>
      </c>
      <c r="AC543" s="9"/>
      <c r="AD543" s="9"/>
      <c r="AE543" s="7"/>
      <c r="AF543" s="7"/>
      <c r="AG543" s="7"/>
      <c r="AH543" s="7"/>
      <c r="AI543" s="7"/>
      <c r="AJ543" s="7"/>
      <c r="AK543" s="7"/>
      <c r="AL543" s="7"/>
      <c r="AM543" s="7"/>
      <c r="AN543" s="7"/>
    </row>
    <row r="544" spans="1:40" ht="15.75" customHeight="1">
      <c r="A544" s="23"/>
      <c r="B544" s="7"/>
      <c r="D544" s="4"/>
      <c r="E544" s="4"/>
      <c r="F544" s="38"/>
      <c r="G544" s="38"/>
      <c r="H544" s="38"/>
      <c r="J544" s="4"/>
      <c r="M544" s="17"/>
      <c r="N544" s="7"/>
      <c r="O544" s="7"/>
      <c r="P544" s="16"/>
      <c r="Q544" s="4"/>
      <c r="R544" s="4"/>
      <c r="S544" s="4"/>
      <c r="T544" s="4"/>
      <c r="U544" s="38"/>
      <c r="V544" s="38"/>
      <c r="W544" s="38"/>
      <c r="Z544" s="9"/>
      <c r="AA544" s="9"/>
      <c r="AC544" s="9"/>
      <c r="AD544" s="9"/>
      <c r="AE544" s="7"/>
      <c r="AF544" s="7"/>
      <c r="AG544" s="7"/>
      <c r="AH544" s="7"/>
      <c r="AI544" s="7"/>
      <c r="AJ544" s="7"/>
      <c r="AK544" s="7"/>
      <c r="AL544" s="7"/>
      <c r="AM544" s="7"/>
      <c r="AN544" s="7"/>
    </row>
    <row r="545" spans="1:40" ht="15.75" customHeight="1">
      <c r="A545" s="23"/>
      <c r="B545" s="7" t="s">
        <v>348</v>
      </c>
      <c r="D545" s="4"/>
      <c r="E545" s="4"/>
      <c r="F545" s="38"/>
      <c r="G545" s="38"/>
      <c r="H545" s="38"/>
      <c r="J545" s="4"/>
      <c r="M545" s="17"/>
      <c r="N545" s="7"/>
      <c r="O545" s="7"/>
      <c r="P545" s="16"/>
      <c r="Q545" s="4"/>
      <c r="R545" s="4"/>
      <c r="S545" s="4"/>
      <c r="T545" s="4"/>
      <c r="U545" s="38"/>
      <c r="V545" s="38"/>
      <c r="W545" s="38"/>
      <c r="Z545" s="9"/>
      <c r="AA545" s="9"/>
      <c r="AC545" s="9"/>
      <c r="AD545" s="9"/>
      <c r="AE545" s="7"/>
      <c r="AF545" s="7"/>
      <c r="AG545" s="7"/>
      <c r="AH545" s="7"/>
      <c r="AI545" s="7"/>
      <c r="AJ545" s="7"/>
      <c r="AK545" s="7"/>
      <c r="AL545" s="7"/>
      <c r="AM545" s="7"/>
      <c r="AN545" s="7"/>
    </row>
    <row r="546" spans="1:40" ht="15.75" customHeight="1">
      <c r="A546" s="23"/>
      <c r="B546" s="7"/>
      <c r="C546" s="116" t="s">
        <v>349</v>
      </c>
      <c r="D546" s="116"/>
      <c r="E546" s="116" t="s">
        <v>180</v>
      </c>
      <c r="F546" s="118" t="s">
        <v>345</v>
      </c>
      <c r="G546" s="118"/>
      <c r="H546" s="118"/>
      <c r="I546" s="116" t="s">
        <v>180</v>
      </c>
      <c r="J546" s="119">
        <f>S543</f>
        <v>0</v>
      </c>
      <c r="K546" s="119"/>
      <c r="L546" s="119"/>
      <c r="M546" s="116" t="s">
        <v>180</v>
      </c>
      <c r="N546" s="191">
        <f>ROUND(J546/J547,3)</f>
        <v>0</v>
      </c>
      <c r="O546" s="191"/>
      <c r="P546" s="191"/>
      <c r="Q546" s="120" t="s">
        <v>181</v>
      </c>
      <c r="R546" s="120"/>
      <c r="S546" s="4"/>
      <c r="T546" s="4"/>
      <c r="U546" s="38"/>
      <c r="V546" s="38"/>
      <c r="W546" s="38"/>
      <c r="Z546" s="9"/>
      <c r="AA546" s="9"/>
      <c r="AB546" s="200" t="s">
        <v>350</v>
      </c>
      <c r="AC546" s="200"/>
      <c r="AD546" s="200"/>
      <c r="AE546" s="200"/>
      <c r="AF546" s="200"/>
      <c r="AG546" s="200"/>
      <c r="AH546" s="7"/>
      <c r="AI546" s="7"/>
      <c r="AJ546" s="7"/>
      <c r="AK546" s="7"/>
      <c r="AL546" s="7"/>
      <c r="AM546" s="7"/>
      <c r="AN546" s="7"/>
    </row>
    <row r="547" spans="1:40" ht="15.75" customHeight="1">
      <c r="A547" s="23"/>
      <c r="B547" s="7"/>
      <c r="C547" s="116"/>
      <c r="D547" s="116"/>
      <c r="E547" s="116"/>
      <c r="F547" s="121" t="s">
        <v>293</v>
      </c>
      <c r="G547" s="121"/>
      <c r="H547" s="121"/>
      <c r="I547" s="116"/>
      <c r="J547" s="194">
        <f>M391</f>
        <v>3</v>
      </c>
      <c r="K547" s="194"/>
      <c r="L547" s="194"/>
      <c r="M547" s="116"/>
      <c r="N547" s="191"/>
      <c r="O547" s="191"/>
      <c r="P547" s="191"/>
      <c r="Q547" s="120"/>
      <c r="R547" s="120"/>
      <c r="S547" s="4"/>
      <c r="T547" s="4"/>
      <c r="U547" s="38"/>
      <c r="V547" s="38"/>
      <c r="W547" s="38"/>
      <c r="Z547" s="9"/>
      <c r="AA547" s="9"/>
      <c r="AB547" s="200"/>
      <c r="AC547" s="200"/>
      <c r="AD547" s="200"/>
      <c r="AE547" s="200"/>
      <c r="AF547" s="200"/>
      <c r="AG547" s="200"/>
      <c r="AH547" s="7"/>
      <c r="AI547" s="7"/>
      <c r="AJ547" s="7"/>
      <c r="AK547" s="7"/>
      <c r="AL547" s="7"/>
      <c r="AM547" s="7"/>
      <c r="AN547" s="7"/>
    </row>
    <row r="548" spans="1:40" ht="15.75" customHeight="1">
      <c r="A548" s="23"/>
      <c r="B548" s="7"/>
      <c r="D548" s="4"/>
      <c r="E548" s="4"/>
      <c r="F548" s="38"/>
      <c r="G548" s="38"/>
      <c r="H548" s="38"/>
      <c r="J548" s="4"/>
      <c r="M548" s="17"/>
      <c r="N548" s="7"/>
      <c r="O548" s="7"/>
      <c r="P548" s="16"/>
      <c r="Q548" s="4"/>
      <c r="R548" s="4"/>
      <c r="S548" s="4"/>
      <c r="T548" s="4"/>
      <c r="U548" s="38"/>
      <c r="V548" s="38"/>
      <c r="W548" s="38"/>
      <c r="Z548" s="9"/>
      <c r="AA548" s="9"/>
      <c r="AC548" s="9"/>
      <c r="AD548" s="9"/>
      <c r="AE548" s="7"/>
      <c r="AF548" s="7"/>
      <c r="AG548" s="7"/>
      <c r="AH548" s="7"/>
      <c r="AI548" s="7"/>
      <c r="AJ548" s="7"/>
      <c r="AK548" s="7"/>
      <c r="AL548" s="7"/>
      <c r="AM548" s="7"/>
      <c r="AN548" s="7"/>
    </row>
    <row r="549" spans="1:40" ht="15.75" customHeight="1">
      <c r="A549" s="23"/>
      <c r="B549" s="7" t="s">
        <v>351</v>
      </c>
      <c r="D549" s="4"/>
      <c r="E549" s="4"/>
      <c r="F549" s="38"/>
      <c r="G549" s="38"/>
      <c r="H549" s="38"/>
      <c r="J549" s="4"/>
      <c r="M549" s="17"/>
      <c r="N549" s="7"/>
      <c r="O549" s="7"/>
      <c r="P549" s="16"/>
      <c r="Q549" s="4"/>
      <c r="R549" s="4"/>
      <c r="S549" s="4"/>
      <c r="T549" s="4"/>
      <c r="U549" s="38"/>
      <c r="V549" s="38"/>
      <c r="W549" s="38"/>
      <c r="Z549" s="9"/>
      <c r="AA549" s="9"/>
      <c r="AC549" s="9"/>
      <c r="AD549" s="9"/>
      <c r="AE549" s="7"/>
      <c r="AF549" s="7"/>
      <c r="AG549" s="7"/>
      <c r="AH549" s="7"/>
      <c r="AI549" s="7"/>
      <c r="AJ549" s="7"/>
      <c r="AK549" s="7"/>
      <c r="AL549" s="7"/>
      <c r="AM549" s="7"/>
      <c r="AN549" s="7"/>
    </row>
    <row r="550" spans="1:40" ht="15.75" customHeight="1">
      <c r="A550" s="23"/>
      <c r="B550" s="7"/>
      <c r="C550" s="116" t="s">
        <v>352</v>
      </c>
      <c r="D550" s="116"/>
      <c r="E550" s="116" t="s">
        <v>180</v>
      </c>
      <c r="F550" s="201" t="s">
        <v>353</v>
      </c>
      <c r="G550" s="201"/>
      <c r="H550" s="201"/>
      <c r="I550" s="118" t="s">
        <v>349</v>
      </c>
      <c r="J550" s="118"/>
      <c r="K550" s="118"/>
      <c r="L550" s="116" t="s">
        <v>180</v>
      </c>
      <c r="M550" s="201">
        <v>-0.3224</v>
      </c>
      <c r="N550" s="201"/>
      <c r="O550" s="201"/>
      <c r="P550" s="116" t="s">
        <v>179</v>
      </c>
      <c r="Q550" s="183">
        <f>N546</f>
        <v>0</v>
      </c>
      <c r="R550" s="183"/>
      <c r="S550" s="183"/>
      <c r="T550" s="116" t="s">
        <v>180</v>
      </c>
      <c r="U550" s="114">
        <f>ROUND(M550*Q550/Q551,3)</f>
        <v>0</v>
      </c>
      <c r="V550" s="114"/>
      <c r="W550" s="114"/>
      <c r="X550" s="123" t="s">
        <v>391</v>
      </c>
      <c r="Y550" s="123"/>
      <c r="Z550" s="123"/>
      <c r="AA550" s="7"/>
      <c r="AB550" s="200" t="s">
        <v>354</v>
      </c>
      <c r="AC550" s="200"/>
      <c r="AD550" s="200"/>
      <c r="AE550" s="200"/>
      <c r="AF550" s="200"/>
      <c r="AG550" s="200"/>
      <c r="AH550" s="7"/>
      <c r="AI550" s="7"/>
      <c r="AJ550" s="7"/>
      <c r="AK550" s="7"/>
      <c r="AL550" s="7"/>
      <c r="AM550" s="7"/>
      <c r="AN550" s="7"/>
    </row>
    <row r="551" spans="1:40" ht="15.75" customHeight="1">
      <c r="A551" s="23"/>
      <c r="B551" s="7"/>
      <c r="C551" s="116"/>
      <c r="D551" s="116"/>
      <c r="E551" s="116"/>
      <c r="F551" s="201"/>
      <c r="G551" s="201"/>
      <c r="H551" s="201"/>
      <c r="I551" s="121" t="s">
        <v>355</v>
      </c>
      <c r="J551" s="121"/>
      <c r="K551" s="121"/>
      <c r="L551" s="116"/>
      <c r="M551" s="201"/>
      <c r="N551" s="201"/>
      <c r="O551" s="201"/>
      <c r="P551" s="116"/>
      <c r="Q551" s="197">
        <f>T500</f>
        <v>1.396</v>
      </c>
      <c r="R551" s="197"/>
      <c r="S551" s="197"/>
      <c r="T551" s="116"/>
      <c r="U551" s="114"/>
      <c r="V551" s="114"/>
      <c r="W551" s="114"/>
      <c r="X551" s="123"/>
      <c r="Y551" s="123"/>
      <c r="Z551" s="123"/>
      <c r="AA551" s="7"/>
      <c r="AB551" s="200"/>
      <c r="AC551" s="200"/>
      <c r="AD551" s="200"/>
      <c r="AE551" s="200"/>
      <c r="AF551" s="200"/>
      <c r="AG551" s="200"/>
      <c r="AH551" s="7"/>
      <c r="AI551" s="7"/>
      <c r="AJ551" s="7"/>
      <c r="AK551" s="7"/>
      <c r="AL551" s="7"/>
      <c r="AM551" s="7"/>
      <c r="AN551" s="7"/>
    </row>
    <row r="552" spans="1:40" ht="15.75" customHeight="1">
      <c r="A552" s="23"/>
      <c r="B552" s="7"/>
      <c r="C552" s="7"/>
      <c r="D552" s="7"/>
      <c r="E552" s="7"/>
      <c r="F552" s="7"/>
      <c r="G552" s="16"/>
      <c r="H552" s="16"/>
      <c r="I552" s="16"/>
      <c r="J552" s="7"/>
      <c r="K552" s="7"/>
      <c r="L552" s="7"/>
      <c r="M552" s="17"/>
      <c r="N552" s="7"/>
      <c r="O552" s="7"/>
      <c r="P552" s="16"/>
      <c r="Q552" s="7"/>
      <c r="R552" s="7"/>
      <c r="S552" s="7"/>
      <c r="T552" s="7"/>
      <c r="U552" s="16"/>
      <c r="V552" s="16"/>
      <c r="W552" s="16"/>
      <c r="X552" s="7"/>
      <c r="Y552" s="7"/>
      <c r="Z552" s="7"/>
      <c r="AA552" s="7"/>
      <c r="AB552" s="7"/>
      <c r="AC552" s="7"/>
      <c r="AD552" s="7"/>
      <c r="AE552" s="7"/>
      <c r="AF552" s="7"/>
      <c r="AG552" s="7"/>
      <c r="AH552" s="7"/>
      <c r="AI552" s="7"/>
      <c r="AJ552" s="7"/>
      <c r="AK552" s="7"/>
      <c r="AL552" s="7"/>
      <c r="AM552" s="7"/>
      <c r="AN552" s="7"/>
    </row>
    <row r="553" spans="1:40" ht="15.75" customHeight="1">
      <c r="A553" s="23"/>
      <c r="B553" s="7" t="s">
        <v>392</v>
      </c>
      <c r="D553" s="4"/>
      <c r="E553" s="4"/>
      <c r="F553" s="7"/>
      <c r="G553" s="16"/>
      <c r="H553" s="16"/>
      <c r="I553" s="16"/>
      <c r="J553" s="7"/>
      <c r="K553" s="7"/>
      <c r="L553" s="7"/>
      <c r="M553" s="17"/>
      <c r="N553" s="7"/>
      <c r="O553" s="7"/>
      <c r="P553" s="16"/>
      <c r="Q553" s="7"/>
      <c r="R553" s="7"/>
      <c r="S553" s="7"/>
      <c r="T553" s="7"/>
      <c r="U553" s="16"/>
      <c r="V553" s="16"/>
      <c r="W553" s="16"/>
      <c r="X553" s="7"/>
      <c r="Y553" s="7"/>
      <c r="Z553" s="7"/>
      <c r="AA553" s="7"/>
      <c r="AB553" s="7"/>
      <c r="AC553" s="7"/>
      <c r="AD553" s="7"/>
      <c r="AE553" s="7"/>
      <c r="AF553" s="7"/>
      <c r="AG553" s="7"/>
      <c r="AH553" s="7"/>
      <c r="AI553" s="7"/>
      <c r="AJ553" s="7"/>
      <c r="AK553" s="7"/>
      <c r="AL553" s="7"/>
      <c r="AM553" s="7"/>
      <c r="AN553" s="7"/>
    </row>
    <row r="554" spans="1:40" ht="15.75" customHeight="1">
      <c r="A554" s="23"/>
      <c r="B554" s="7"/>
      <c r="C554" s="116" t="s">
        <v>393</v>
      </c>
      <c r="D554" s="116"/>
      <c r="E554" s="116" t="s">
        <v>180</v>
      </c>
      <c r="F554" s="118" t="s">
        <v>394</v>
      </c>
      <c r="G554" s="118"/>
      <c r="H554" s="118"/>
      <c r="I554" s="207" t="s">
        <v>310</v>
      </c>
      <c r="J554" s="118" t="s">
        <v>395</v>
      </c>
      <c r="K554" s="118"/>
      <c r="L554" s="118"/>
      <c r="M554" s="17"/>
      <c r="N554" s="7"/>
      <c r="O554" s="7"/>
      <c r="P554" s="16"/>
      <c r="Q554" s="7"/>
      <c r="R554" s="7"/>
      <c r="S554" s="7"/>
      <c r="T554" s="7"/>
      <c r="U554" s="16"/>
      <c r="V554" s="16"/>
      <c r="W554" s="16"/>
      <c r="X554" s="7"/>
      <c r="Y554" s="7"/>
      <c r="Z554" s="7"/>
      <c r="AA554" s="7"/>
      <c r="AB554" s="200" t="s">
        <v>396</v>
      </c>
      <c r="AC554" s="200"/>
      <c r="AD554" s="200"/>
      <c r="AE554" s="200"/>
      <c r="AF554" s="200"/>
      <c r="AG554" s="200"/>
      <c r="AH554" s="7"/>
      <c r="AI554" s="7"/>
      <c r="AJ554" s="7"/>
      <c r="AK554" s="7"/>
      <c r="AL554" s="7"/>
      <c r="AM554" s="7"/>
      <c r="AN554" s="7"/>
    </row>
    <row r="555" spans="1:40" ht="15.75" customHeight="1">
      <c r="A555" s="23"/>
      <c r="B555" s="7"/>
      <c r="C555" s="116"/>
      <c r="D555" s="116"/>
      <c r="E555" s="116"/>
      <c r="F555" s="194" t="s">
        <v>1</v>
      </c>
      <c r="G555" s="194"/>
      <c r="H555" s="194"/>
      <c r="I555" s="207"/>
      <c r="J555" s="194" t="s">
        <v>397</v>
      </c>
      <c r="K555" s="194"/>
      <c r="L555" s="194"/>
      <c r="M555" s="17"/>
      <c r="N555" s="7"/>
      <c r="O555" s="7"/>
      <c r="P555" s="16"/>
      <c r="Q555" s="7"/>
      <c r="R555" s="7"/>
      <c r="S555" s="7"/>
      <c r="T555" s="7"/>
      <c r="U555" s="16"/>
      <c r="V555" s="16"/>
      <c r="W555" s="16"/>
      <c r="X555" s="7"/>
      <c r="Y555" s="7"/>
      <c r="Z555" s="7"/>
      <c r="AA555" s="7"/>
      <c r="AB555" s="200"/>
      <c r="AC555" s="200"/>
      <c r="AD555" s="200"/>
      <c r="AE555" s="200"/>
      <c r="AF555" s="200"/>
      <c r="AG555" s="200"/>
      <c r="AH555" s="7"/>
      <c r="AI555" s="7"/>
      <c r="AJ555" s="7"/>
      <c r="AK555" s="7"/>
      <c r="AL555" s="7"/>
      <c r="AM555" s="7"/>
      <c r="AN555" s="7"/>
    </row>
    <row r="556" spans="1:35" ht="15.75" customHeight="1">
      <c r="A556" s="23"/>
      <c r="B556" s="7"/>
      <c r="C556" s="7"/>
      <c r="D556" s="7"/>
      <c r="E556" s="7"/>
      <c r="F556" s="7"/>
      <c r="G556" s="16"/>
      <c r="H556" s="16"/>
      <c r="I556" s="16"/>
      <c r="J556" s="7"/>
      <c r="K556" s="7"/>
      <c r="L556" s="7"/>
      <c r="M556" s="17"/>
      <c r="N556" s="7"/>
      <c r="O556" s="7"/>
      <c r="P556" s="16"/>
      <c r="Q556" s="7"/>
      <c r="R556" s="7"/>
      <c r="S556" s="7"/>
      <c r="T556" s="7"/>
      <c r="U556" s="16"/>
      <c r="V556" s="16"/>
      <c r="W556" s="16"/>
      <c r="X556" s="7"/>
      <c r="Y556" s="7"/>
      <c r="Z556" s="7"/>
      <c r="AA556" s="7"/>
      <c r="AB556" s="7"/>
      <c r="AC556" s="7"/>
      <c r="AD556" s="7"/>
      <c r="AE556" s="7"/>
      <c r="AF556" s="7"/>
      <c r="AG556" s="7"/>
      <c r="AH556" s="7"/>
      <c r="AI556" s="7"/>
    </row>
    <row r="557" spans="2:40" ht="24" customHeight="1">
      <c r="B557" s="7"/>
      <c r="C557" s="199" t="s">
        <v>398</v>
      </c>
      <c r="D557" s="199"/>
      <c r="E557" s="199"/>
      <c r="F557" s="199"/>
      <c r="G557" s="199"/>
      <c r="H557" s="199"/>
      <c r="I557" s="199"/>
      <c r="J557" s="116" t="s">
        <v>289</v>
      </c>
      <c r="K557" s="116"/>
      <c r="M557" s="4" t="s">
        <v>180</v>
      </c>
      <c r="N557" s="208">
        <f>G397*1000</f>
        <v>6370</v>
      </c>
      <c r="O557" s="208"/>
      <c r="P557" s="208"/>
      <c r="Q557" s="3" t="s">
        <v>399</v>
      </c>
      <c r="Z557" s="3"/>
      <c r="AJ557" s="7"/>
      <c r="AK557" s="7"/>
      <c r="AL557" s="7"/>
      <c r="AM557" s="7"/>
      <c r="AN557" s="7"/>
    </row>
    <row r="558" spans="1:35" ht="15.75" customHeight="1">
      <c r="A558" s="23"/>
      <c r="B558" s="7"/>
      <c r="C558" s="199" t="s">
        <v>400</v>
      </c>
      <c r="D558" s="199"/>
      <c r="E558" s="199"/>
      <c r="F558" s="199"/>
      <c r="G558" s="199"/>
      <c r="H558" s="199"/>
      <c r="I558" s="199"/>
      <c r="J558" s="116" t="s">
        <v>1</v>
      </c>
      <c r="K558" s="116"/>
      <c r="M558" s="4" t="s">
        <v>180</v>
      </c>
      <c r="N558" s="208">
        <f>N513</f>
        <v>15400</v>
      </c>
      <c r="O558" s="208"/>
      <c r="P558" s="208"/>
      <c r="Q558" s="3" t="s">
        <v>401</v>
      </c>
      <c r="R558" s="7"/>
      <c r="S558" s="16"/>
      <c r="T558" s="7"/>
      <c r="U558" s="16"/>
      <c r="Z558" s="3"/>
      <c r="AC558" s="7"/>
      <c r="AD558" s="7"/>
      <c r="AE558" s="7"/>
      <c r="AF558" s="7"/>
      <c r="AG558" s="7"/>
      <c r="AH558" s="7"/>
      <c r="AI558" s="7"/>
    </row>
    <row r="559" spans="2:40" ht="24" customHeight="1">
      <c r="B559" s="7"/>
      <c r="C559" s="199" t="s">
        <v>402</v>
      </c>
      <c r="D559" s="199"/>
      <c r="E559" s="199"/>
      <c r="F559" s="199"/>
      <c r="G559" s="199"/>
      <c r="H559" s="199"/>
      <c r="I559" s="199"/>
      <c r="J559" s="116" t="s">
        <v>352</v>
      </c>
      <c r="K559" s="116"/>
      <c r="M559" s="4" t="s">
        <v>180</v>
      </c>
      <c r="N559" s="195">
        <f>ABS(U550)*1000*1000</f>
        <v>0</v>
      </c>
      <c r="O559" s="195"/>
      <c r="P559" s="195"/>
      <c r="Q559" s="195"/>
      <c r="R559" s="3" t="s">
        <v>403</v>
      </c>
      <c r="Z559" s="3"/>
      <c r="AJ559" s="7"/>
      <c r="AK559" s="7"/>
      <c r="AL559" s="7"/>
      <c r="AM559" s="7"/>
      <c r="AN559" s="7"/>
    </row>
    <row r="560" spans="1:40" ht="15.75" customHeight="1">
      <c r="A560" s="23"/>
      <c r="B560" s="7"/>
      <c r="C560" s="199" t="s">
        <v>404</v>
      </c>
      <c r="D560" s="199"/>
      <c r="E560" s="199"/>
      <c r="F560" s="199"/>
      <c r="G560" s="199"/>
      <c r="H560" s="199"/>
      <c r="I560" s="199"/>
      <c r="J560" s="116" t="s">
        <v>397</v>
      </c>
      <c r="K560" s="116"/>
      <c r="M560" s="4" t="s">
        <v>180</v>
      </c>
      <c r="N560" s="43" t="s">
        <v>405</v>
      </c>
      <c r="O560" s="43"/>
      <c r="Q560" s="7"/>
      <c r="R560" s="4" t="s">
        <v>180</v>
      </c>
      <c r="S560" s="4" t="s">
        <v>272</v>
      </c>
      <c r="T560" s="12" t="s">
        <v>179</v>
      </c>
      <c r="U560" s="192">
        <f>U515</f>
        <v>140</v>
      </c>
      <c r="V560" s="192"/>
      <c r="W560" s="44">
        <v>3</v>
      </c>
      <c r="X560" s="12" t="s">
        <v>406</v>
      </c>
      <c r="Y560" s="192">
        <v>32</v>
      </c>
      <c r="Z560" s="192"/>
      <c r="AA560" s="4" t="s">
        <v>180</v>
      </c>
      <c r="AB560" s="116">
        <f>ROUND(PI()*U560^W560/Y560,-3)</f>
        <v>269000</v>
      </c>
      <c r="AC560" s="116"/>
      <c r="AD560" s="116"/>
      <c r="AE560" s="3" t="s">
        <v>407</v>
      </c>
      <c r="AF560" s="7"/>
      <c r="AG560" s="7"/>
      <c r="AH560" s="7"/>
      <c r="AI560" s="7"/>
      <c r="AJ560" s="7"/>
      <c r="AK560" s="7"/>
      <c r="AL560" s="7"/>
      <c r="AM560" s="7"/>
      <c r="AN560" s="7"/>
    </row>
    <row r="561" spans="1:40" ht="15.75" customHeight="1">
      <c r="A561" s="23"/>
      <c r="B561" s="7"/>
      <c r="C561" s="7"/>
      <c r="D561" s="7"/>
      <c r="E561" s="7"/>
      <c r="F561" s="7"/>
      <c r="G561" s="16"/>
      <c r="H561" s="7"/>
      <c r="I561" s="7"/>
      <c r="J561" s="16"/>
      <c r="K561" s="16"/>
      <c r="L561" s="7"/>
      <c r="M561" s="7"/>
      <c r="O561" s="17"/>
      <c r="P561" s="7"/>
      <c r="Q561" s="7"/>
      <c r="R561" s="16"/>
      <c r="S561" s="7"/>
      <c r="T561" s="7"/>
      <c r="U561" s="16"/>
      <c r="V561" s="16"/>
      <c r="W561" s="16"/>
      <c r="X561" s="7"/>
      <c r="Y561" s="7"/>
      <c r="Z561" s="7"/>
      <c r="AA561" s="7"/>
      <c r="AB561" s="7"/>
      <c r="AC561" s="7"/>
      <c r="AD561" s="7"/>
      <c r="AE561" s="7"/>
      <c r="AF561" s="7"/>
      <c r="AG561" s="7"/>
      <c r="AH561" s="7"/>
      <c r="AI561" s="7"/>
      <c r="AJ561" s="7"/>
      <c r="AK561" s="7"/>
      <c r="AL561" s="7"/>
      <c r="AM561" s="7"/>
      <c r="AN561" s="7"/>
    </row>
    <row r="562" spans="1:40" ht="15.75" customHeight="1">
      <c r="A562" s="23"/>
      <c r="B562" s="7"/>
      <c r="C562" s="116" t="s">
        <v>393</v>
      </c>
      <c r="D562" s="116"/>
      <c r="E562" s="116" t="s">
        <v>180</v>
      </c>
      <c r="F562" s="118" t="s">
        <v>394</v>
      </c>
      <c r="G562" s="118"/>
      <c r="H562" s="118"/>
      <c r="I562" s="207" t="s">
        <v>310</v>
      </c>
      <c r="J562" s="118" t="s">
        <v>395</v>
      </c>
      <c r="K562" s="118"/>
      <c r="L562" s="118"/>
      <c r="M562" s="116" t="s">
        <v>180</v>
      </c>
      <c r="N562" s="118">
        <f>N557</f>
        <v>6370</v>
      </c>
      <c r="O562" s="118"/>
      <c r="P562" s="118"/>
      <c r="Q562" s="207" t="s">
        <v>310</v>
      </c>
      <c r="R562" s="118">
        <f>N559</f>
        <v>0</v>
      </c>
      <c r="S562" s="118"/>
      <c r="T562" s="118"/>
      <c r="U562" s="118"/>
      <c r="V562" s="16"/>
      <c r="W562" s="16"/>
      <c r="X562" s="7"/>
      <c r="Y562" s="7"/>
      <c r="Z562" s="7"/>
      <c r="AA562" s="7"/>
      <c r="AB562" s="7"/>
      <c r="AC562" s="7"/>
      <c r="AD562" s="7"/>
      <c r="AE562" s="7"/>
      <c r="AF562" s="7"/>
      <c r="AG562" s="7"/>
      <c r="AH562" s="7"/>
      <c r="AI562" s="7"/>
      <c r="AJ562" s="7"/>
      <c r="AK562" s="7"/>
      <c r="AL562" s="7"/>
      <c r="AM562" s="7"/>
      <c r="AN562" s="7"/>
    </row>
    <row r="563" spans="1:40" ht="15.75" customHeight="1">
      <c r="A563" s="23"/>
      <c r="B563" s="7"/>
      <c r="C563" s="116"/>
      <c r="D563" s="116"/>
      <c r="E563" s="116"/>
      <c r="F563" s="194" t="s">
        <v>1</v>
      </c>
      <c r="G563" s="194"/>
      <c r="H563" s="194"/>
      <c r="I563" s="207"/>
      <c r="J563" s="194" t="s">
        <v>397</v>
      </c>
      <c r="K563" s="194"/>
      <c r="L563" s="194"/>
      <c r="M563" s="116"/>
      <c r="N563" s="194">
        <f>N558</f>
        <v>15400</v>
      </c>
      <c r="O563" s="194"/>
      <c r="P563" s="194"/>
      <c r="Q563" s="207"/>
      <c r="R563" s="195">
        <f>AB560</f>
        <v>269000</v>
      </c>
      <c r="S563" s="195"/>
      <c r="T563" s="195"/>
      <c r="U563" s="195"/>
      <c r="V563" s="16"/>
      <c r="W563" s="16"/>
      <c r="X563" s="7"/>
      <c r="Y563" s="7"/>
      <c r="Z563" s="7"/>
      <c r="AA563" s="7"/>
      <c r="AB563" s="7"/>
      <c r="AC563" s="7"/>
      <c r="AD563" s="7"/>
      <c r="AE563" s="7"/>
      <c r="AF563" s="7"/>
      <c r="AG563" s="7"/>
      <c r="AH563" s="7"/>
      <c r="AI563" s="7"/>
      <c r="AJ563" s="7"/>
      <c r="AK563" s="7"/>
      <c r="AL563" s="7"/>
      <c r="AM563" s="7"/>
      <c r="AN563" s="7"/>
    </row>
    <row r="564" spans="1:40" ht="15.75" customHeight="1">
      <c r="A564" s="23"/>
      <c r="B564" s="7"/>
      <c r="C564" s="7"/>
      <c r="D564" s="7"/>
      <c r="E564" s="7"/>
      <c r="F564" s="7"/>
      <c r="G564" s="16"/>
      <c r="H564" s="16"/>
      <c r="I564" s="16"/>
      <c r="J564" s="7"/>
      <c r="K564" s="7"/>
      <c r="L564" s="7"/>
      <c r="M564" s="116" t="s">
        <v>180</v>
      </c>
      <c r="N564" s="207">
        <f>ROUND(N562/N563,2)</f>
        <v>0.41</v>
      </c>
      <c r="O564" s="207"/>
      <c r="P564" s="207"/>
      <c r="Q564" s="207" t="s">
        <v>310</v>
      </c>
      <c r="R564" s="207">
        <f>ROUND(R562/R563,2)</f>
        <v>0</v>
      </c>
      <c r="S564" s="207"/>
      <c r="T564" s="207"/>
      <c r="U564" s="16"/>
      <c r="V564" s="16"/>
      <c r="W564" s="16"/>
      <c r="X564" s="7"/>
      <c r="Y564" s="7"/>
      <c r="Z564" s="7"/>
      <c r="AA564" s="7"/>
      <c r="AB564" s="7"/>
      <c r="AC564" s="7"/>
      <c r="AD564" s="7"/>
      <c r="AE564" s="7"/>
      <c r="AF564" s="7"/>
      <c r="AG564" s="7"/>
      <c r="AH564" s="7"/>
      <c r="AI564" s="7"/>
      <c r="AJ564" s="7"/>
      <c r="AK564" s="7"/>
      <c r="AL564" s="7"/>
      <c r="AM564" s="7"/>
      <c r="AN564" s="7"/>
    </row>
    <row r="565" spans="1:41" ht="15.75" customHeight="1">
      <c r="A565" s="23"/>
      <c r="B565" s="7"/>
      <c r="C565" s="7"/>
      <c r="D565" s="7"/>
      <c r="E565" s="7"/>
      <c r="F565" s="7"/>
      <c r="G565" s="16"/>
      <c r="H565" s="16"/>
      <c r="I565" s="16"/>
      <c r="J565" s="7"/>
      <c r="K565" s="7"/>
      <c r="L565" s="7"/>
      <c r="M565" s="116"/>
      <c r="N565" s="207"/>
      <c r="O565" s="207"/>
      <c r="P565" s="207"/>
      <c r="Q565" s="207"/>
      <c r="R565" s="207"/>
      <c r="S565" s="207"/>
      <c r="T565" s="207"/>
      <c r="U565" s="16"/>
      <c r="V565" s="16"/>
      <c r="W565" s="16"/>
      <c r="X565" s="7"/>
      <c r="Y565" s="7"/>
      <c r="Z565" s="7"/>
      <c r="AA565" s="7"/>
      <c r="AB565" s="7"/>
      <c r="AC565" s="7"/>
      <c r="AD565" s="7"/>
      <c r="AE565" s="7"/>
      <c r="AF565" s="7"/>
      <c r="AG565" s="7"/>
      <c r="AH565" s="7"/>
      <c r="AI565" s="7"/>
      <c r="AJ565" s="7"/>
      <c r="AK565" s="7"/>
      <c r="AL565" s="7"/>
      <c r="AM565" s="7"/>
      <c r="AN565" s="7"/>
      <c r="AO565" s="7"/>
    </row>
    <row r="566" spans="1:41" ht="15.75" customHeight="1">
      <c r="A566" s="23"/>
      <c r="B566" s="7"/>
      <c r="C566" s="7"/>
      <c r="D566" s="7"/>
      <c r="E566" s="7"/>
      <c r="F566" s="7"/>
      <c r="G566" s="16"/>
      <c r="H566" s="16"/>
      <c r="I566" s="16"/>
      <c r="J566" s="7"/>
      <c r="K566" s="7"/>
      <c r="L566" s="7"/>
      <c r="M566" s="116" t="s">
        <v>180</v>
      </c>
      <c r="N566" s="207" t="s">
        <v>311</v>
      </c>
      <c r="O566" s="207">
        <f>ROUND(N564+R564,2)</f>
        <v>0.41</v>
      </c>
      <c r="P566" s="207"/>
      <c r="Q566" s="207"/>
      <c r="R566" s="207" t="s">
        <v>312</v>
      </c>
      <c r="S566" s="120" t="s">
        <v>408</v>
      </c>
      <c r="T566" s="120"/>
      <c r="U566" s="120"/>
      <c r="V566" s="17" t="s">
        <v>409</v>
      </c>
      <c r="W566" s="16"/>
      <c r="X566" s="16"/>
      <c r="Y566" s="16"/>
      <c r="Z566" s="7"/>
      <c r="AA566" s="7"/>
      <c r="AB566" s="7"/>
      <c r="AC566" s="7"/>
      <c r="AD566" s="7"/>
      <c r="AE566" s="7"/>
      <c r="AF566" s="7"/>
      <c r="AG566" s="7"/>
      <c r="AH566" s="7"/>
      <c r="AI566" s="7"/>
      <c r="AJ566" s="7"/>
      <c r="AK566" s="7"/>
      <c r="AL566" s="7"/>
      <c r="AM566" s="7"/>
      <c r="AN566" s="7"/>
      <c r="AO566" s="7"/>
    </row>
    <row r="567" spans="1:40" ht="15.75" customHeight="1">
      <c r="A567" s="23"/>
      <c r="B567" s="7"/>
      <c r="C567" s="7"/>
      <c r="D567" s="7"/>
      <c r="E567" s="7"/>
      <c r="F567" s="7"/>
      <c r="G567" s="16"/>
      <c r="H567" s="16"/>
      <c r="I567" s="16"/>
      <c r="J567" s="7"/>
      <c r="K567" s="7"/>
      <c r="L567" s="7"/>
      <c r="M567" s="116"/>
      <c r="N567" s="207"/>
      <c r="O567" s="207">
        <f>ROUND(N564-R564,2)</f>
        <v>0.41</v>
      </c>
      <c r="P567" s="207"/>
      <c r="Q567" s="207"/>
      <c r="R567" s="207"/>
      <c r="S567" s="120"/>
      <c r="T567" s="120"/>
      <c r="U567" s="120"/>
      <c r="V567" s="17" t="str">
        <f>IF(O567&gt;0,"（曲げ圧縮応力度）","（曲げ引張応力度）")</f>
        <v>（曲げ圧縮応力度）</v>
      </c>
      <c r="W567" s="16"/>
      <c r="X567" s="16"/>
      <c r="Y567" s="16"/>
      <c r="Z567" s="7"/>
      <c r="AA567" s="7"/>
      <c r="AB567" s="7"/>
      <c r="AC567" s="7"/>
      <c r="AD567" s="7"/>
      <c r="AE567" s="7"/>
      <c r="AF567" s="7"/>
      <c r="AG567" s="7"/>
      <c r="AH567" s="7"/>
      <c r="AI567" s="7"/>
      <c r="AJ567" s="7"/>
      <c r="AK567" s="7"/>
      <c r="AL567" s="7"/>
      <c r="AM567" s="7"/>
      <c r="AN567" s="7"/>
    </row>
    <row r="568" spans="1:40" ht="15.75" customHeight="1">
      <c r="A568" s="23"/>
      <c r="B568" s="7"/>
      <c r="C568" s="7"/>
      <c r="D568" s="7"/>
      <c r="E568" s="7"/>
      <c r="F568" s="7"/>
      <c r="G568" s="16"/>
      <c r="H568" s="16"/>
      <c r="I568" s="16"/>
      <c r="J568" s="7"/>
      <c r="K568" s="7"/>
      <c r="L568" s="7"/>
      <c r="M568" s="17"/>
      <c r="N568" s="7"/>
      <c r="O568" s="7"/>
      <c r="P568" s="16"/>
      <c r="Q568" s="7"/>
      <c r="R568" s="7"/>
      <c r="S568" s="7"/>
      <c r="T568" s="7"/>
      <c r="U568" s="16"/>
      <c r="V568" s="16"/>
      <c r="W568" s="16"/>
      <c r="X568" s="7"/>
      <c r="Y568" s="7"/>
      <c r="Z568" s="7"/>
      <c r="AA568" s="7"/>
      <c r="AB568" s="7"/>
      <c r="AC568" s="7"/>
      <c r="AD568" s="7"/>
      <c r="AE568" s="7"/>
      <c r="AF568" s="7"/>
      <c r="AG568" s="7"/>
      <c r="AH568" s="7"/>
      <c r="AI568" s="7"/>
      <c r="AJ568" s="7"/>
      <c r="AK568" s="7"/>
      <c r="AL568" s="7"/>
      <c r="AM568" s="7"/>
      <c r="AN568" s="7"/>
    </row>
    <row r="569" spans="1:40" ht="15.75" customHeight="1">
      <c r="A569" s="23"/>
      <c r="B569" s="7" t="s">
        <v>410</v>
      </c>
      <c r="D569" s="4"/>
      <c r="E569" s="4"/>
      <c r="F569" s="7"/>
      <c r="G569" s="16"/>
      <c r="H569" s="16"/>
      <c r="I569" s="16"/>
      <c r="J569" s="7"/>
      <c r="K569" s="7"/>
      <c r="L569" s="7"/>
      <c r="M569" s="17"/>
      <c r="N569" s="7"/>
      <c r="O569" s="7"/>
      <c r="P569" s="16"/>
      <c r="Q569" s="7"/>
      <c r="R569" s="7"/>
      <c r="S569" s="7"/>
      <c r="T569" s="7"/>
      <c r="U569" s="16"/>
      <c r="V569" s="16"/>
      <c r="W569" s="16"/>
      <c r="X569" s="7"/>
      <c r="Y569" s="7"/>
      <c r="Z569" s="7"/>
      <c r="AA569" s="7"/>
      <c r="AB569" s="200" t="s">
        <v>396</v>
      </c>
      <c r="AC569" s="200"/>
      <c r="AD569" s="200"/>
      <c r="AE569" s="200"/>
      <c r="AF569" s="200"/>
      <c r="AG569" s="200"/>
      <c r="AH569" s="7"/>
      <c r="AI569" s="7"/>
      <c r="AJ569" s="7"/>
      <c r="AK569" s="7"/>
      <c r="AL569" s="7"/>
      <c r="AM569" s="7"/>
      <c r="AN569" s="7"/>
    </row>
    <row r="570" spans="1:40" ht="15.75" customHeight="1">
      <c r="A570" s="23"/>
      <c r="B570" s="7"/>
      <c r="C570" s="116" t="s">
        <v>393</v>
      </c>
      <c r="D570" s="116"/>
      <c r="E570" s="116" t="s">
        <v>180</v>
      </c>
      <c r="F570" s="118" t="s">
        <v>394</v>
      </c>
      <c r="G570" s="118"/>
      <c r="H570" s="118"/>
      <c r="I570" s="207" t="s">
        <v>310</v>
      </c>
      <c r="J570" s="118" t="s">
        <v>395</v>
      </c>
      <c r="K570" s="118"/>
      <c r="L570" s="118"/>
      <c r="M570" s="17"/>
      <c r="N570" s="7"/>
      <c r="O570" s="7"/>
      <c r="P570" s="16"/>
      <c r="Q570" s="7"/>
      <c r="R570" s="7"/>
      <c r="S570" s="7"/>
      <c r="T570" s="7"/>
      <c r="U570" s="16"/>
      <c r="V570" s="16"/>
      <c r="W570" s="16"/>
      <c r="X570" s="7"/>
      <c r="Y570" s="7"/>
      <c r="Z570" s="7"/>
      <c r="AA570" s="7"/>
      <c r="AB570" s="200"/>
      <c r="AC570" s="200"/>
      <c r="AD570" s="200"/>
      <c r="AE570" s="200"/>
      <c r="AF570" s="200"/>
      <c r="AG570" s="200"/>
      <c r="AH570" s="7"/>
      <c r="AI570" s="7"/>
      <c r="AJ570" s="7"/>
      <c r="AK570" s="7"/>
      <c r="AL570" s="7"/>
      <c r="AM570" s="7"/>
      <c r="AN570" s="7"/>
    </row>
    <row r="571" spans="1:40" ht="15.75" customHeight="1">
      <c r="A571" s="23"/>
      <c r="B571" s="7"/>
      <c r="C571" s="116"/>
      <c r="D571" s="116"/>
      <c r="E571" s="116"/>
      <c r="F571" s="194" t="s">
        <v>1</v>
      </c>
      <c r="G571" s="194"/>
      <c r="H571" s="194"/>
      <c r="I571" s="207"/>
      <c r="J571" s="194" t="s">
        <v>397</v>
      </c>
      <c r="K571" s="194"/>
      <c r="L571" s="194"/>
      <c r="M571" s="17"/>
      <c r="N571" s="7"/>
      <c r="O571" s="7"/>
      <c r="P571" s="16"/>
      <c r="Q571" s="7"/>
      <c r="R571" s="7"/>
      <c r="S571" s="7"/>
      <c r="T571" s="7"/>
      <c r="U571" s="16"/>
      <c r="V571" s="16"/>
      <c r="W571" s="16"/>
      <c r="X571" s="7"/>
      <c r="Y571" s="7"/>
      <c r="Z571" s="7"/>
      <c r="AA571" s="7"/>
      <c r="AB571" s="7"/>
      <c r="AC571" s="7"/>
      <c r="AD571" s="7"/>
      <c r="AE571" s="7"/>
      <c r="AF571" s="7"/>
      <c r="AG571" s="7"/>
      <c r="AH571" s="7"/>
      <c r="AI571" s="7"/>
      <c r="AJ571" s="7"/>
      <c r="AK571" s="7"/>
      <c r="AL571" s="7"/>
      <c r="AM571" s="7"/>
      <c r="AN571" s="7"/>
    </row>
    <row r="572" spans="1:35" ht="15.75" customHeight="1">
      <c r="A572" s="23"/>
      <c r="B572" s="7"/>
      <c r="C572" s="7"/>
      <c r="D572" s="7"/>
      <c r="E572" s="7"/>
      <c r="F572" s="7"/>
      <c r="G572" s="16"/>
      <c r="H572" s="16"/>
      <c r="I572" s="16"/>
      <c r="J572" s="7"/>
      <c r="K572" s="7"/>
      <c r="L572" s="7"/>
      <c r="M572" s="17"/>
      <c r="N572" s="7"/>
      <c r="O572" s="7"/>
      <c r="P572" s="16"/>
      <c r="Q572" s="7"/>
      <c r="R572" s="7"/>
      <c r="S572" s="7"/>
      <c r="T572" s="7"/>
      <c r="U572" s="16"/>
      <c r="V572" s="16"/>
      <c r="W572" s="16"/>
      <c r="X572" s="7"/>
      <c r="Y572" s="7"/>
      <c r="Z572" s="7"/>
      <c r="AA572" s="7"/>
      <c r="AB572" s="7"/>
      <c r="AC572" s="7"/>
      <c r="AD572" s="7"/>
      <c r="AE572" s="7"/>
      <c r="AF572" s="7"/>
      <c r="AG572" s="7"/>
      <c r="AH572" s="7"/>
      <c r="AI572" s="7"/>
    </row>
    <row r="573" spans="2:40" ht="24" customHeight="1">
      <c r="B573" s="7"/>
      <c r="C573" s="199" t="s">
        <v>398</v>
      </c>
      <c r="D573" s="199"/>
      <c r="E573" s="199"/>
      <c r="F573" s="199"/>
      <c r="G573" s="199"/>
      <c r="H573" s="199"/>
      <c r="I573" s="199"/>
      <c r="J573" s="116" t="s">
        <v>289</v>
      </c>
      <c r="K573" s="116"/>
      <c r="M573" s="4" t="s">
        <v>180</v>
      </c>
      <c r="N573" s="208">
        <f>G414*1000</f>
        <v>1090</v>
      </c>
      <c r="O573" s="208"/>
      <c r="P573" s="208"/>
      <c r="Q573" s="3" t="s">
        <v>399</v>
      </c>
      <c r="Z573" s="3"/>
      <c r="AJ573" s="7"/>
      <c r="AK573" s="7"/>
      <c r="AL573" s="7"/>
      <c r="AM573" s="7"/>
      <c r="AN573" s="7"/>
    </row>
    <row r="574" spans="1:35" ht="15.75" customHeight="1">
      <c r="A574" s="23"/>
      <c r="B574" s="7"/>
      <c r="C574" s="199" t="s">
        <v>400</v>
      </c>
      <c r="D574" s="199"/>
      <c r="E574" s="199"/>
      <c r="F574" s="199"/>
      <c r="G574" s="199"/>
      <c r="H574" s="199"/>
      <c r="I574" s="199"/>
      <c r="J574" s="116" t="s">
        <v>1</v>
      </c>
      <c r="K574" s="116"/>
      <c r="M574" s="4" t="s">
        <v>180</v>
      </c>
      <c r="N574" s="208">
        <f>N558</f>
        <v>15400</v>
      </c>
      <c r="O574" s="208"/>
      <c r="P574" s="208"/>
      <c r="Q574" s="3" t="s">
        <v>401</v>
      </c>
      <c r="R574" s="7"/>
      <c r="S574" s="16"/>
      <c r="T574" s="7"/>
      <c r="U574" s="16"/>
      <c r="V574" s="16"/>
      <c r="Z574" s="3"/>
      <c r="AD574" s="7"/>
      <c r="AE574" s="7"/>
      <c r="AF574" s="7"/>
      <c r="AG574" s="7"/>
      <c r="AH574" s="7"/>
      <c r="AI574" s="7"/>
    </row>
    <row r="575" spans="2:40" ht="24" customHeight="1">
      <c r="B575" s="7"/>
      <c r="C575" s="199" t="s">
        <v>402</v>
      </c>
      <c r="D575" s="199"/>
      <c r="E575" s="199"/>
      <c r="F575" s="199"/>
      <c r="G575" s="199"/>
      <c r="H575" s="199"/>
      <c r="I575" s="199"/>
      <c r="J575" s="116" t="s">
        <v>352</v>
      </c>
      <c r="K575" s="116"/>
      <c r="M575" s="4" t="s">
        <v>180</v>
      </c>
      <c r="N575" s="195">
        <f>N559</f>
        <v>0</v>
      </c>
      <c r="O575" s="195"/>
      <c r="P575" s="195"/>
      <c r="Q575" s="195"/>
      <c r="R575" s="3" t="s">
        <v>403</v>
      </c>
      <c r="Z575" s="3"/>
      <c r="AJ575" s="7"/>
      <c r="AK575" s="7"/>
      <c r="AL575" s="7"/>
      <c r="AM575" s="7"/>
      <c r="AN575" s="7"/>
    </row>
    <row r="576" spans="1:40" ht="15.75" customHeight="1">
      <c r="A576" s="23"/>
      <c r="B576" s="7"/>
      <c r="C576" s="199" t="s">
        <v>404</v>
      </c>
      <c r="D576" s="199"/>
      <c r="E576" s="199"/>
      <c r="F576" s="199"/>
      <c r="G576" s="199"/>
      <c r="H576" s="199"/>
      <c r="I576" s="199"/>
      <c r="J576" s="116" t="s">
        <v>397</v>
      </c>
      <c r="K576" s="116"/>
      <c r="M576" s="4" t="s">
        <v>180</v>
      </c>
      <c r="N576" s="43" t="s">
        <v>405</v>
      </c>
      <c r="O576" s="43"/>
      <c r="Q576" s="7"/>
      <c r="R576" s="4" t="s">
        <v>180</v>
      </c>
      <c r="S576" s="4" t="s">
        <v>272</v>
      </c>
      <c r="T576" s="12" t="s">
        <v>179</v>
      </c>
      <c r="U576" s="192">
        <f>U560</f>
        <v>140</v>
      </c>
      <c r="V576" s="192"/>
      <c r="W576" s="44">
        <v>3</v>
      </c>
      <c r="X576" s="12" t="s">
        <v>406</v>
      </c>
      <c r="Y576" s="192">
        <v>32</v>
      </c>
      <c r="Z576" s="192"/>
      <c r="AA576" s="4" t="s">
        <v>180</v>
      </c>
      <c r="AB576" s="116">
        <f>ROUND(PI()*U576^W576/Y576,-3)</f>
        <v>269000</v>
      </c>
      <c r="AC576" s="116"/>
      <c r="AD576" s="116"/>
      <c r="AE576" s="3" t="s">
        <v>407</v>
      </c>
      <c r="AF576" s="7"/>
      <c r="AG576" s="7"/>
      <c r="AH576" s="7"/>
      <c r="AI576" s="7"/>
      <c r="AJ576" s="7"/>
      <c r="AK576" s="7"/>
      <c r="AL576" s="7"/>
      <c r="AM576" s="7"/>
      <c r="AN576" s="7"/>
    </row>
    <row r="577" spans="1:40" ht="15.75" customHeight="1">
      <c r="A577" s="23"/>
      <c r="B577" s="7"/>
      <c r="C577" s="7"/>
      <c r="D577" s="7"/>
      <c r="E577" s="7"/>
      <c r="F577" s="7"/>
      <c r="G577" s="16"/>
      <c r="H577" s="7"/>
      <c r="I577" s="7"/>
      <c r="J577" s="16"/>
      <c r="K577" s="16"/>
      <c r="L577" s="7"/>
      <c r="M577" s="7"/>
      <c r="O577" s="17"/>
      <c r="P577" s="7"/>
      <c r="Q577" s="7"/>
      <c r="R577" s="16"/>
      <c r="S577" s="7"/>
      <c r="T577" s="7"/>
      <c r="U577" s="16"/>
      <c r="V577" s="16"/>
      <c r="W577" s="16"/>
      <c r="X577" s="7"/>
      <c r="Y577" s="7"/>
      <c r="Z577" s="7"/>
      <c r="AA577" s="7"/>
      <c r="AB577" s="7"/>
      <c r="AC577" s="7"/>
      <c r="AD577" s="7"/>
      <c r="AE577" s="7"/>
      <c r="AF577" s="7"/>
      <c r="AG577" s="7"/>
      <c r="AH577" s="7"/>
      <c r="AI577" s="7"/>
      <c r="AJ577" s="7"/>
      <c r="AK577" s="7"/>
      <c r="AL577" s="7"/>
      <c r="AM577" s="7"/>
      <c r="AN577" s="7"/>
    </row>
    <row r="578" spans="1:40" ht="15.75" customHeight="1">
      <c r="A578" s="23"/>
      <c r="B578" s="7"/>
      <c r="C578" s="116" t="s">
        <v>393</v>
      </c>
      <c r="D578" s="116"/>
      <c r="E578" s="116" t="s">
        <v>180</v>
      </c>
      <c r="F578" s="118" t="s">
        <v>394</v>
      </c>
      <c r="G578" s="118"/>
      <c r="H578" s="118"/>
      <c r="I578" s="207" t="s">
        <v>310</v>
      </c>
      <c r="J578" s="118" t="s">
        <v>395</v>
      </c>
      <c r="K578" s="118"/>
      <c r="L578" s="118"/>
      <c r="M578" s="116" t="s">
        <v>180</v>
      </c>
      <c r="N578" s="118">
        <f>N573</f>
        <v>1090</v>
      </c>
      <c r="O578" s="118"/>
      <c r="P578" s="118"/>
      <c r="Q578" s="207" t="s">
        <v>310</v>
      </c>
      <c r="R578" s="118">
        <f>N575</f>
        <v>0</v>
      </c>
      <c r="S578" s="118"/>
      <c r="T578" s="118"/>
      <c r="U578" s="118"/>
      <c r="V578" s="16"/>
      <c r="W578" s="16"/>
      <c r="X578" s="7"/>
      <c r="Y578" s="7"/>
      <c r="Z578" s="7"/>
      <c r="AA578" s="7"/>
      <c r="AB578" s="7"/>
      <c r="AC578" s="7"/>
      <c r="AD578" s="7"/>
      <c r="AE578" s="7"/>
      <c r="AF578" s="7"/>
      <c r="AG578" s="7"/>
      <c r="AH578" s="7"/>
      <c r="AI578" s="7"/>
      <c r="AJ578" s="7"/>
      <c r="AK578" s="7"/>
      <c r="AL578" s="7"/>
      <c r="AM578" s="7"/>
      <c r="AN578" s="7"/>
    </row>
    <row r="579" spans="1:40" ht="15.75" customHeight="1">
      <c r="A579" s="23"/>
      <c r="B579" s="7"/>
      <c r="C579" s="116"/>
      <c r="D579" s="116"/>
      <c r="E579" s="116"/>
      <c r="F579" s="194" t="s">
        <v>1</v>
      </c>
      <c r="G579" s="194"/>
      <c r="H579" s="194"/>
      <c r="I579" s="207"/>
      <c r="J579" s="194" t="s">
        <v>397</v>
      </c>
      <c r="K579" s="194"/>
      <c r="L579" s="194"/>
      <c r="M579" s="116"/>
      <c r="N579" s="194">
        <f>N574</f>
        <v>15400</v>
      </c>
      <c r="O579" s="194"/>
      <c r="P579" s="194"/>
      <c r="Q579" s="207"/>
      <c r="R579" s="195">
        <f>AB576</f>
        <v>269000</v>
      </c>
      <c r="S579" s="195"/>
      <c r="T579" s="195"/>
      <c r="U579" s="195"/>
      <c r="V579" s="16"/>
      <c r="W579" s="16"/>
      <c r="X579" s="7"/>
      <c r="Y579" s="7"/>
      <c r="Z579" s="7"/>
      <c r="AA579" s="7"/>
      <c r="AB579" s="7"/>
      <c r="AC579" s="7"/>
      <c r="AD579" s="7"/>
      <c r="AE579" s="7"/>
      <c r="AF579" s="7"/>
      <c r="AG579" s="7"/>
      <c r="AH579" s="7"/>
      <c r="AI579" s="7"/>
      <c r="AJ579" s="7"/>
      <c r="AK579" s="7"/>
      <c r="AL579" s="7"/>
      <c r="AM579" s="7"/>
      <c r="AN579" s="7"/>
    </row>
    <row r="580" spans="1:40" ht="15.75" customHeight="1">
      <c r="A580" s="23"/>
      <c r="B580" s="7"/>
      <c r="C580" s="7"/>
      <c r="D580" s="7"/>
      <c r="E580" s="7"/>
      <c r="F580" s="7"/>
      <c r="G580" s="16"/>
      <c r="H580" s="16"/>
      <c r="I580" s="16"/>
      <c r="J580" s="7"/>
      <c r="K580" s="7"/>
      <c r="L580" s="7"/>
      <c r="M580" s="116" t="s">
        <v>180</v>
      </c>
      <c r="N580" s="207">
        <f>ROUND(N578/N579,2)</f>
        <v>0.07</v>
      </c>
      <c r="O580" s="207"/>
      <c r="P580" s="207"/>
      <c r="Q580" s="207" t="s">
        <v>310</v>
      </c>
      <c r="R580" s="207">
        <f>ROUND(R578/R579,2)</f>
        <v>0</v>
      </c>
      <c r="S580" s="207"/>
      <c r="T580" s="207"/>
      <c r="U580" s="16"/>
      <c r="V580" s="16"/>
      <c r="W580" s="16"/>
      <c r="X580" s="7"/>
      <c r="Y580" s="7"/>
      <c r="Z580" s="7"/>
      <c r="AA580" s="7"/>
      <c r="AB580" s="7"/>
      <c r="AC580" s="7"/>
      <c r="AD580" s="7"/>
      <c r="AE580" s="7"/>
      <c r="AF580" s="7"/>
      <c r="AG580" s="7"/>
      <c r="AH580" s="7"/>
      <c r="AI580" s="7"/>
      <c r="AJ580" s="7"/>
      <c r="AK580" s="7"/>
      <c r="AL580" s="7"/>
      <c r="AM580" s="7"/>
      <c r="AN580" s="7"/>
    </row>
    <row r="581" spans="1:41" ht="15.75" customHeight="1">
      <c r="A581" s="23"/>
      <c r="B581" s="7"/>
      <c r="C581" s="7"/>
      <c r="D581" s="7"/>
      <c r="E581" s="7"/>
      <c r="F581" s="7"/>
      <c r="G581" s="16"/>
      <c r="H581" s="16"/>
      <c r="I581" s="16"/>
      <c r="J581" s="7"/>
      <c r="K581" s="7"/>
      <c r="L581" s="7"/>
      <c r="M581" s="116"/>
      <c r="N581" s="207"/>
      <c r="O581" s="207"/>
      <c r="P581" s="207"/>
      <c r="Q581" s="207"/>
      <c r="R581" s="207"/>
      <c r="S581" s="207"/>
      <c r="T581" s="207"/>
      <c r="U581" s="16"/>
      <c r="V581" s="16"/>
      <c r="W581" s="16"/>
      <c r="X581" s="7"/>
      <c r="Y581" s="7"/>
      <c r="Z581" s="7"/>
      <c r="AA581" s="7"/>
      <c r="AB581" s="7"/>
      <c r="AC581" s="7"/>
      <c r="AD581" s="7"/>
      <c r="AE581" s="7"/>
      <c r="AF581" s="7"/>
      <c r="AG581" s="7"/>
      <c r="AH581" s="7"/>
      <c r="AI581" s="7"/>
      <c r="AJ581" s="7"/>
      <c r="AK581" s="7"/>
      <c r="AL581" s="7"/>
      <c r="AM581" s="7"/>
      <c r="AN581" s="7"/>
      <c r="AO581" s="7"/>
    </row>
    <row r="582" spans="1:41" ht="15.75" customHeight="1">
      <c r="A582" s="23"/>
      <c r="B582" s="7"/>
      <c r="C582" s="7"/>
      <c r="D582" s="7"/>
      <c r="E582" s="7"/>
      <c r="F582" s="7"/>
      <c r="G582" s="16"/>
      <c r="H582" s="16"/>
      <c r="I582" s="16"/>
      <c r="J582" s="7"/>
      <c r="K582" s="7"/>
      <c r="L582" s="7"/>
      <c r="M582" s="116" t="s">
        <v>180</v>
      </c>
      <c r="N582" s="207" t="s">
        <v>311</v>
      </c>
      <c r="O582" s="207">
        <f>ROUND(N580+R580,2)</f>
        <v>0.07</v>
      </c>
      <c r="P582" s="207"/>
      <c r="Q582" s="207"/>
      <c r="R582" s="207" t="s">
        <v>312</v>
      </c>
      <c r="S582" s="120" t="s">
        <v>408</v>
      </c>
      <c r="T582" s="120"/>
      <c r="U582" s="120"/>
      <c r="V582" s="17" t="s">
        <v>409</v>
      </c>
      <c r="W582" s="16"/>
      <c r="X582" s="16"/>
      <c r="Y582" s="16"/>
      <c r="Z582" s="7"/>
      <c r="AA582" s="7"/>
      <c r="AB582" s="7"/>
      <c r="AC582" s="7"/>
      <c r="AD582" s="7"/>
      <c r="AE582" s="7"/>
      <c r="AF582" s="7"/>
      <c r="AG582" s="7"/>
      <c r="AH582" s="7"/>
      <c r="AI582" s="7"/>
      <c r="AJ582" s="7"/>
      <c r="AK582" s="7"/>
      <c r="AL582" s="7"/>
      <c r="AM582" s="7"/>
      <c r="AN582" s="7"/>
      <c r="AO582" s="7"/>
    </row>
    <row r="583" spans="1:40" ht="15.75" customHeight="1">
      <c r="A583" s="23"/>
      <c r="B583" s="7"/>
      <c r="C583" s="7"/>
      <c r="D583" s="7"/>
      <c r="E583" s="7"/>
      <c r="F583" s="7"/>
      <c r="G583" s="16"/>
      <c r="H583" s="16"/>
      <c r="I583" s="16"/>
      <c r="J583" s="7"/>
      <c r="K583" s="7"/>
      <c r="L583" s="7"/>
      <c r="M583" s="116"/>
      <c r="N583" s="207"/>
      <c r="O583" s="207">
        <f>ROUND(N580-R580,2)</f>
        <v>0.07</v>
      </c>
      <c r="P583" s="207"/>
      <c r="Q583" s="207"/>
      <c r="R583" s="207"/>
      <c r="S583" s="120"/>
      <c r="T583" s="120"/>
      <c r="U583" s="120"/>
      <c r="V583" s="17" t="str">
        <f>IF(O583&gt;0,"（曲げ圧縮応力度）","（曲げ引張応力度）")</f>
        <v>（曲げ圧縮応力度）</v>
      </c>
      <c r="W583" s="16"/>
      <c r="X583" s="16"/>
      <c r="Y583" s="16"/>
      <c r="Z583" s="7"/>
      <c r="AA583" s="7"/>
      <c r="AB583" s="7"/>
      <c r="AC583" s="7"/>
      <c r="AD583" s="7"/>
      <c r="AE583" s="7"/>
      <c r="AF583" s="7"/>
      <c r="AG583" s="7"/>
      <c r="AH583" s="7"/>
      <c r="AI583" s="7"/>
      <c r="AJ583" s="7"/>
      <c r="AK583" s="7"/>
      <c r="AL583" s="7"/>
      <c r="AM583" s="7"/>
      <c r="AN583" s="7"/>
    </row>
    <row r="584" spans="1:35" ht="15.75" customHeight="1">
      <c r="A584" s="23"/>
      <c r="B584" s="7"/>
      <c r="C584" s="7"/>
      <c r="D584" s="7"/>
      <c r="E584" s="7"/>
      <c r="F584" s="7"/>
      <c r="G584" s="16"/>
      <c r="H584" s="16"/>
      <c r="I584" s="16"/>
      <c r="J584" s="7"/>
      <c r="K584" s="7"/>
      <c r="L584" s="7"/>
      <c r="M584" s="17"/>
      <c r="N584" s="7"/>
      <c r="O584" s="7"/>
      <c r="P584" s="16"/>
      <c r="Q584" s="7"/>
      <c r="R584" s="7"/>
      <c r="S584" s="7"/>
      <c r="T584" s="7"/>
      <c r="U584" s="16"/>
      <c r="V584" s="16"/>
      <c r="W584" s="16"/>
      <c r="X584" s="7"/>
      <c r="Y584" s="7"/>
      <c r="Z584" s="7"/>
      <c r="AA584" s="7"/>
      <c r="AB584" s="7"/>
      <c r="AC584" s="7"/>
      <c r="AD584" s="7"/>
      <c r="AE584" s="7"/>
      <c r="AF584" s="7"/>
      <c r="AG584" s="7"/>
      <c r="AH584" s="7"/>
      <c r="AI584" s="7"/>
    </row>
    <row r="585" spans="1:40" ht="15.75" customHeight="1">
      <c r="A585" s="2" t="s">
        <v>28</v>
      </c>
      <c r="C585" s="7"/>
      <c r="D585" s="30"/>
      <c r="E585" s="7"/>
      <c r="F585" s="7"/>
      <c r="G585" s="30"/>
      <c r="H585" s="7"/>
      <c r="I585" s="7"/>
      <c r="J585" s="7"/>
      <c r="AJ585" s="7"/>
      <c r="AK585" s="7"/>
      <c r="AL585" s="7"/>
      <c r="AM585" s="7"/>
      <c r="AN585" s="7"/>
    </row>
    <row r="586" spans="1:40" ht="15.75" customHeight="1">
      <c r="A586" s="23"/>
      <c r="B586" s="7"/>
      <c r="C586" s="7"/>
      <c r="D586" s="7"/>
      <c r="E586" s="7"/>
      <c r="F586" s="7"/>
      <c r="G586" s="16"/>
      <c r="H586" s="16"/>
      <c r="I586" s="16"/>
      <c r="J586" s="7"/>
      <c r="K586" s="7"/>
      <c r="L586" s="7"/>
      <c r="M586" s="17"/>
      <c r="N586" s="7"/>
      <c r="O586" s="7"/>
      <c r="P586" s="16"/>
      <c r="Q586" s="7"/>
      <c r="R586" s="7"/>
      <c r="S586" s="7"/>
      <c r="T586" s="7"/>
      <c r="U586" s="16"/>
      <c r="V586" s="16"/>
      <c r="W586" s="16"/>
      <c r="X586" s="7"/>
      <c r="Y586" s="7"/>
      <c r="Z586" s="7"/>
      <c r="AA586" s="7"/>
      <c r="AB586" s="7"/>
      <c r="AC586" s="7"/>
      <c r="AD586" s="7"/>
      <c r="AE586" s="7"/>
      <c r="AF586" s="7"/>
      <c r="AG586" s="7"/>
      <c r="AH586" s="7"/>
      <c r="AI586" s="7"/>
      <c r="AJ586" s="7"/>
      <c r="AK586" s="7"/>
      <c r="AL586" s="7"/>
      <c r="AM586" s="7"/>
      <c r="AN586" s="7"/>
    </row>
    <row r="587" spans="1:40" ht="15.75" customHeight="1">
      <c r="A587" s="23" t="s">
        <v>412</v>
      </c>
      <c r="B587" s="7"/>
      <c r="C587" s="7"/>
      <c r="D587" s="7"/>
      <c r="E587" s="7"/>
      <c r="F587" s="7"/>
      <c r="G587" s="16"/>
      <c r="H587" s="16"/>
      <c r="I587" s="16"/>
      <c r="J587" s="7"/>
      <c r="K587" s="7"/>
      <c r="L587" s="7"/>
      <c r="M587" s="17"/>
      <c r="N587" s="7"/>
      <c r="O587" s="7"/>
      <c r="P587" s="16"/>
      <c r="Q587" s="7"/>
      <c r="R587" s="7"/>
      <c r="S587" s="7"/>
      <c r="T587" s="7"/>
      <c r="U587" s="16"/>
      <c r="V587" s="16"/>
      <c r="W587" s="12"/>
      <c r="X587" s="12"/>
      <c r="Y587" s="4"/>
      <c r="Z587" s="30"/>
      <c r="AA587" s="30"/>
      <c r="AB587" s="30"/>
      <c r="AF587" s="7"/>
      <c r="AG587" s="7"/>
      <c r="AH587" s="7"/>
      <c r="AI587" s="7"/>
      <c r="AJ587" s="7"/>
      <c r="AK587" s="7"/>
      <c r="AL587" s="7"/>
      <c r="AM587" s="7"/>
      <c r="AN587" s="7"/>
    </row>
    <row r="588" spans="1:35" ht="15.75" customHeight="1">
      <c r="A588" s="23"/>
      <c r="B588" s="7"/>
      <c r="D588" s="4"/>
      <c r="E588" s="4"/>
      <c r="F588" s="38"/>
      <c r="G588" s="38"/>
      <c r="H588" s="38"/>
      <c r="J588" s="4"/>
      <c r="M588" s="17"/>
      <c r="N588" s="7"/>
      <c r="O588" s="7"/>
      <c r="P588" s="16"/>
      <c r="Q588" s="4"/>
      <c r="R588" s="4"/>
      <c r="S588" s="4"/>
      <c r="T588" s="4"/>
      <c r="U588" s="38"/>
      <c r="V588" s="38"/>
      <c r="W588" s="38"/>
      <c r="Z588" s="9"/>
      <c r="AA588" s="9"/>
      <c r="AB588" s="7"/>
      <c r="AC588" s="7"/>
      <c r="AD588" s="7"/>
      <c r="AE588" s="7"/>
      <c r="AF588" s="7"/>
      <c r="AG588" s="7"/>
      <c r="AH588" s="7"/>
      <c r="AI588" s="7"/>
    </row>
    <row r="589" spans="1:40" ht="15.75" customHeight="1">
      <c r="A589" s="23"/>
      <c r="B589" s="125" t="s">
        <v>413</v>
      </c>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J589" s="7"/>
      <c r="AK589" s="7"/>
      <c r="AL589" s="7"/>
      <c r="AM589" s="7"/>
      <c r="AN589" s="7"/>
    </row>
    <row r="590" spans="1:40" ht="15.75" customHeight="1">
      <c r="A590" s="23"/>
      <c r="B590" s="7"/>
      <c r="C590" s="7"/>
      <c r="D590" s="7"/>
      <c r="E590" s="7"/>
      <c r="F590" s="7"/>
      <c r="G590" s="16"/>
      <c r="H590" s="16"/>
      <c r="I590" s="16"/>
      <c r="J590" s="7"/>
      <c r="K590" s="7"/>
      <c r="L590" s="7"/>
      <c r="M590" s="17"/>
      <c r="N590" s="7"/>
      <c r="O590" s="7"/>
      <c r="P590" s="16"/>
      <c r="Q590" s="7"/>
      <c r="R590" s="7"/>
      <c r="S590" s="7"/>
      <c r="T590" s="7"/>
      <c r="U590" s="16"/>
      <c r="V590" s="16"/>
      <c r="W590" s="12"/>
      <c r="X590" s="12"/>
      <c r="Y590" s="4"/>
      <c r="Z590" s="30"/>
      <c r="AA590" s="30"/>
      <c r="AB590" s="30"/>
      <c r="AF590" s="7"/>
      <c r="AG590" s="7"/>
      <c r="AH590" s="7"/>
      <c r="AI590" s="7"/>
      <c r="AJ590" s="7"/>
      <c r="AK590" s="7"/>
      <c r="AL590" s="7"/>
      <c r="AM590" s="7"/>
      <c r="AN590" s="7"/>
    </row>
    <row r="591" spans="1:40" ht="15.75" customHeight="1">
      <c r="A591" s="23"/>
      <c r="B591" s="7"/>
      <c r="C591" s="116" t="s">
        <v>393</v>
      </c>
      <c r="D591" s="116"/>
      <c r="E591" s="116" t="s">
        <v>180</v>
      </c>
      <c r="F591" s="118" t="s">
        <v>394</v>
      </c>
      <c r="G591" s="118"/>
      <c r="H591" s="118"/>
      <c r="I591" s="207" t="s">
        <v>310</v>
      </c>
      <c r="J591" s="118" t="s">
        <v>395</v>
      </c>
      <c r="K591" s="118"/>
      <c r="L591" s="118"/>
      <c r="M591" s="116" t="s">
        <v>414</v>
      </c>
      <c r="N591" s="116"/>
      <c r="O591" s="116" t="s">
        <v>415</v>
      </c>
      <c r="P591" s="116"/>
      <c r="Q591" s="116" t="s">
        <v>312</v>
      </c>
      <c r="V591" s="16"/>
      <c r="W591" s="16"/>
      <c r="X591" s="7"/>
      <c r="Y591" s="7"/>
      <c r="Z591" s="7"/>
      <c r="AA591" s="7"/>
      <c r="AB591" s="200" t="s">
        <v>396</v>
      </c>
      <c r="AC591" s="200"/>
      <c r="AD591" s="200"/>
      <c r="AE591" s="200"/>
      <c r="AF591" s="200"/>
      <c r="AG591" s="200"/>
      <c r="AH591" s="7"/>
      <c r="AI591" s="7"/>
      <c r="AJ591" s="7"/>
      <c r="AK591" s="7"/>
      <c r="AL591" s="7"/>
      <c r="AM591" s="7"/>
      <c r="AN591" s="7"/>
    </row>
    <row r="592" spans="1:40" ht="15.75" customHeight="1">
      <c r="A592" s="23"/>
      <c r="B592" s="7"/>
      <c r="C592" s="116"/>
      <c r="D592" s="116"/>
      <c r="E592" s="116"/>
      <c r="F592" s="194" t="s">
        <v>1</v>
      </c>
      <c r="G592" s="194"/>
      <c r="H592" s="194"/>
      <c r="I592" s="207"/>
      <c r="J592" s="194" t="s">
        <v>397</v>
      </c>
      <c r="K592" s="194"/>
      <c r="L592" s="194"/>
      <c r="M592" s="116"/>
      <c r="N592" s="116"/>
      <c r="O592" s="116" t="s">
        <v>416</v>
      </c>
      <c r="P592" s="116"/>
      <c r="Q592" s="116"/>
      <c r="V592" s="16"/>
      <c r="W592" s="16"/>
      <c r="X592" s="7"/>
      <c r="Y592" s="7"/>
      <c r="Z592" s="7"/>
      <c r="AA592" s="7"/>
      <c r="AB592" s="200"/>
      <c r="AC592" s="200"/>
      <c r="AD592" s="200"/>
      <c r="AE592" s="200"/>
      <c r="AF592" s="200"/>
      <c r="AG592" s="200"/>
      <c r="AH592" s="7"/>
      <c r="AI592" s="7"/>
      <c r="AJ592" s="7"/>
      <c r="AK592" s="7"/>
      <c r="AL592" s="7"/>
      <c r="AM592" s="7"/>
      <c r="AN592" s="7"/>
    </row>
    <row r="593" spans="1:40" ht="15.75" customHeight="1">
      <c r="A593" s="23"/>
      <c r="B593" s="7"/>
      <c r="D593" s="4"/>
      <c r="E593" s="4"/>
      <c r="F593" s="15"/>
      <c r="G593" s="15"/>
      <c r="H593" s="15"/>
      <c r="I593" s="12"/>
      <c r="J593" s="15"/>
      <c r="K593" s="15"/>
      <c r="L593" s="15"/>
      <c r="M593" s="17"/>
      <c r="N593" s="7"/>
      <c r="O593" s="7"/>
      <c r="P593" s="16"/>
      <c r="Q593" s="7"/>
      <c r="R593" s="7"/>
      <c r="S593" s="7"/>
      <c r="T593" s="7"/>
      <c r="U593" s="16"/>
      <c r="V593" s="16"/>
      <c r="W593" s="16"/>
      <c r="X593" s="7"/>
      <c r="Y593" s="7"/>
      <c r="Z593" s="7"/>
      <c r="AA593" s="7"/>
      <c r="AB593" s="25"/>
      <c r="AC593" s="25"/>
      <c r="AD593" s="25"/>
      <c r="AE593" s="25"/>
      <c r="AF593" s="25"/>
      <c r="AG593" s="25"/>
      <c r="AH593" s="7"/>
      <c r="AI593" s="7"/>
      <c r="AJ593" s="7"/>
      <c r="AK593" s="7"/>
      <c r="AL593" s="7"/>
      <c r="AM593" s="7"/>
      <c r="AN593" s="7"/>
    </row>
    <row r="594" spans="1:40" ht="15.75" customHeight="1">
      <c r="A594" s="23"/>
      <c r="B594" s="7" t="s">
        <v>392</v>
      </c>
      <c r="D594" s="4"/>
      <c r="E594" s="4"/>
      <c r="F594" s="7"/>
      <c r="G594" s="16"/>
      <c r="H594" s="16"/>
      <c r="I594" s="16"/>
      <c r="J594" s="7"/>
      <c r="K594" s="7"/>
      <c r="L594" s="7"/>
      <c r="M594" s="17"/>
      <c r="N594" s="7"/>
      <c r="O594" s="7"/>
      <c r="P594" s="16"/>
      <c r="Q594" s="7"/>
      <c r="R594" s="7"/>
      <c r="S594" s="7"/>
      <c r="T594" s="7"/>
      <c r="U594" s="16"/>
      <c r="V594" s="16"/>
      <c r="W594" s="12"/>
      <c r="X594" s="12"/>
      <c r="Y594" s="4"/>
      <c r="Z594" s="30"/>
      <c r="AA594" s="30"/>
      <c r="AB594" s="30"/>
      <c r="AF594" s="7"/>
      <c r="AG594" s="7"/>
      <c r="AH594" s="7"/>
      <c r="AI594" s="7"/>
      <c r="AJ594" s="7"/>
      <c r="AK594" s="7"/>
      <c r="AL594" s="7"/>
      <c r="AM594" s="7"/>
      <c r="AN594" s="7"/>
    </row>
    <row r="595" spans="1:40" ht="15.75" customHeight="1">
      <c r="A595" s="23"/>
      <c r="B595" s="7"/>
      <c r="C595" s="116" t="s">
        <v>417</v>
      </c>
      <c r="D595" s="116"/>
      <c r="E595" s="116" t="s">
        <v>180</v>
      </c>
      <c r="F595" s="207" t="s">
        <v>311</v>
      </c>
      <c r="G595" s="207">
        <f>ABS(O521)</f>
        <v>0.44</v>
      </c>
      <c r="H595" s="207"/>
      <c r="I595" s="207"/>
      <c r="J595" s="207" t="s">
        <v>312</v>
      </c>
      <c r="K595" s="120" t="s">
        <v>408</v>
      </c>
      <c r="L595" s="120"/>
      <c r="M595" s="120"/>
      <c r="N595" s="17" t="s">
        <v>409</v>
      </c>
      <c r="O595" s="7"/>
      <c r="P595" s="16"/>
      <c r="Q595" s="7"/>
      <c r="R595" s="7"/>
      <c r="S595" s="7"/>
      <c r="T595" s="4" t="str">
        <f>IF(ABS(G595)&lt;=ABS(X595),"≦","&gt;")</f>
        <v>≦</v>
      </c>
      <c r="U595" s="116" t="s">
        <v>494</v>
      </c>
      <c r="V595" s="116"/>
      <c r="W595" s="116" t="s">
        <v>180</v>
      </c>
      <c r="X595" s="207">
        <f>$L$67</f>
        <v>4.5</v>
      </c>
      <c r="Y595" s="207"/>
      <c r="Z595" s="207"/>
      <c r="AA595" s="120" t="s">
        <v>485</v>
      </c>
      <c r="AB595" s="120"/>
      <c r="AC595" s="198" t="s">
        <v>486</v>
      </c>
      <c r="AD595" s="198"/>
      <c r="AE595" s="120" t="str">
        <f>IF(O522&gt;0,AI595,AI596)</f>
        <v>OK</v>
      </c>
      <c r="AF595" s="120"/>
      <c r="AG595" s="7"/>
      <c r="AH595" s="7"/>
      <c r="AI595" s="3" t="str">
        <f>IF(G595&lt;X595,"OK","NG")</f>
        <v>OK</v>
      </c>
      <c r="AJ595" s="7"/>
      <c r="AK595" s="7"/>
      <c r="AL595" s="7"/>
      <c r="AM595" s="7"/>
      <c r="AN595" s="7"/>
    </row>
    <row r="596" spans="1:40" ht="15.75" customHeight="1">
      <c r="A596" s="23"/>
      <c r="B596" s="7"/>
      <c r="C596" s="116"/>
      <c r="D596" s="116"/>
      <c r="E596" s="116"/>
      <c r="F596" s="207"/>
      <c r="G596" s="207">
        <f>ABS(O522)</f>
        <v>0.44</v>
      </c>
      <c r="H596" s="207"/>
      <c r="I596" s="207"/>
      <c r="J596" s="207"/>
      <c r="K596" s="120"/>
      <c r="L596" s="120"/>
      <c r="M596" s="120"/>
      <c r="N596" s="17" t="str">
        <f>IF(O522&gt;0,"（曲げ圧縮応力度）","（曲げ引張応力度）")</f>
        <v>（曲げ圧縮応力度）</v>
      </c>
      <c r="O596" s="7"/>
      <c r="P596" s="16"/>
      <c r="Q596" s="7"/>
      <c r="R596" s="7"/>
      <c r="S596" s="7"/>
      <c r="T596" s="4" t="str">
        <f>IF(ABS(G596)&lt;=ABS(X596),"≦","&gt;")</f>
        <v>≦</v>
      </c>
      <c r="U596" s="116" t="str">
        <f>IF(O522&gt;0,"σca","σba")</f>
        <v>σca</v>
      </c>
      <c r="V596" s="116"/>
      <c r="W596" s="116"/>
      <c r="X596" s="207">
        <f>IF(O522&gt;0,$L$67,$L$68)</f>
        <v>4.5</v>
      </c>
      <c r="Y596" s="207"/>
      <c r="Z596" s="207"/>
      <c r="AA596" s="120"/>
      <c r="AB596" s="120"/>
      <c r="AC596" s="198"/>
      <c r="AD596" s="198"/>
      <c r="AE596" s="120"/>
      <c r="AF596" s="120"/>
      <c r="AG596" s="7"/>
      <c r="AH596" s="7"/>
      <c r="AI596" s="7" t="str">
        <f>IF(AND(ABS(G595)&lt;=ABS(X595),ABS(G596)&lt;=ABS(X596)),"OK","NG")</f>
        <v>OK</v>
      </c>
      <c r="AJ596" s="7"/>
      <c r="AK596" s="7"/>
      <c r="AL596" s="7"/>
      <c r="AM596" s="7"/>
      <c r="AN596" s="7"/>
    </row>
    <row r="597" spans="1:40" ht="15.75" customHeight="1">
      <c r="A597" s="23"/>
      <c r="B597" s="7"/>
      <c r="C597" s="7"/>
      <c r="D597" s="7"/>
      <c r="E597" s="7"/>
      <c r="F597" s="7"/>
      <c r="G597" s="16"/>
      <c r="H597" s="16"/>
      <c r="I597" s="16"/>
      <c r="J597" s="7"/>
      <c r="K597" s="7"/>
      <c r="L597" s="7"/>
      <c r="M597" s="17"/>
      <c r="N597" s="7"/>
      <c r="O597" s="7"/>
      <c r="P597" s="16"/>
      <c r="Q597" s="7"/>
      <c r="R597" s="7"/>
      <c r="S597" s="7"/>
      <c r="T597" s="7"/>
      <c r="U597" s="16"/>
      <c r="V597" s="16"/>
      <c r="W597" s="12"/>
      <c r="X597" s="12"/>
      <c r="Y597" s="4"/>
      <c r="Z597" s="30"/>
      <c r="AA597" s="30"/>
      <c r="AB597" s="30"/>
      <c r="AF597" s="7"/>
      <c r="AG597" s="7"/>
      <c r="AH597" s="7"/>
      <c r="AJ597" s="7"/>
      <c r="AK597" s="7"/>
      <c r="AL597" s="7"/>
      <c r="AM597" s="7"/>
      <c r="AN597" s="7"/>
    </row>
    <row r="598" spans="1:40" ht="15.75" customHeight="1">
      <c r="A598" s="23"/>
      <c r="B598" s="7" t="s">
        <v>410</v>
      </c>
      <c r="D598" s="4"/>
      <c r="E598" s="4"/>
      <c r="F598" s="7"/>
      <c r="G598" s="16"/>
      <c r="H598" s="16"/>
      <c r="I598" s="16"/>
      <c r="J598" s="7"/>
      <c r="K598" s="7"/>
      <c r="L598" s="7"/>
      <c r="M598" s="17"/>
      <c r="N598" s="7"/>
      <c r="O598" s="7"/>
      <c r="P598" s="16"/>
      <c r="Q598" s="7"/>
      <c r="R598" s="7"/>
      <c r="S598" s="7"/>
      <c r="T598" s="7"/>
      <c r="U598" s="16"/>
      <c r="V598" s="16"/>
      <c r="W598" s="12"/>
      <c r="X598" s="12"/>
      <c r="Y598" s="4"/>
      <c r="Z598" s="30"/>
      <c r="AA598" s="30"/>
      <c r="AB598" s="30"/>
      <c r="AF598" s="7"/>
      <c r="AG598" s="7"/>
      <c r="AH598" s="7"/>
      <c r="AI598" s="7"/>
      <c r="AJ598" s="7"/>
      <c r="AK598" s="7"/>
      <c r="AL598" s="7"/>
      <c r="AM598" s="7"/>
      <c r="AN598" s="7"/>
    </row>
    <row r="599" spans="1:40" ht="15.75" customHeight="1">
      <c r="A599" s="23"/>
      <c r="B599" s="7"/>
      <c r="C599" s="116" t="s">
        <v>417</v>
      </c>
      <c r="D599" s="116"/>
      <c r="E599" s="116" t="s">
        <v>180</v>
      </c>
      <c r="F599" s="207" t="s">
        <v>311</v>
      </c>
      <c r="G599" s="207">
        <f>ABS(O537)</f>
        <v>0.18</v>
      </c>
      <c r="H599" s="207"/>
      <c r="I599" s="207"/>
      <c r="J599" s="207" t="s">
        <v>312</v>
      </c>
      <c r="K599" s="120" t="s">
        <v>408</v>
      </c>
      <c r="L599" s="120"/>
      <c r="M599" s="120"/>
      <c r="N599" s="17" t="s">
        <v>409</v>
      </c>
      <c r="O599" s="7"/>
      <c r="P599" s="16"/>
      <c r="Q599" s="7"/>
      <c r="R599" s="7"/>
      <c r="S599" s="7"/>
      <c r="T599" s="4" t="str">
        <f>IF(ABS(G599)&lt;=ABS(X599),"≦","&gt;")</f>
        <v>≦</v>
      </c>
      <c r="U599" s="116" t="s">
        <v>494</v>
      </c>
      <c r="V599" s="116"/>
      <c r="W599" s="116" t="s">
        <v>180</v>
      </c>
      <c r="X599" s="207">
        <f>$L$67</f>
        <v>4.5</v>
      </c>
      <c r="Y599" s="207"/>
      <c r="Z599" s="207"/>
      <c r="AA599" s="120" t="s">
        <v>164</v>
      </c>
      <c r="AB599" s="120"/>
      <c r="AC599" s="198" t="s">
        <v>318</v>
      </c>
      <c r="AD599" s="198"/>
      <c r="AE599" s="120" t="str">
        <f>IF(O538&gt;0,AI599,AI600)</f>
        <v>OK</v>
      </c>
      <c r="AF599" s="120"/>
      <c r="AG599" s="7"/>
      <c r="AH599" s="7"/>
      <c r="AI599" s="7" t="str">
        <f>IF(G599&lt;X599,"OK","NG")</f>
        <v>OK</v>
      </c>
      <c r="AJ599" s="7"/>
      <c r="AK599" s="7"/>
      <c r="AL599" s="7"/>
      <c r="AM599" s="7"/>
      <c r="AN599" s="7"/>
    </row>
    <row r="600" spans="1:40" ht="15.75" customHeight="1">
      <c r="A600" s="23"/>
      <c r="B600" s="7"/>
      <c r="C600" s="116"/>
      <c r="D600" s="116"/>
      <c r="E600" s="116"/>
      <c r="F600" s="207"/>
      <c r="G600" s="207">
        <f>ABS(O538)</f>
        <v>0.18</v>
      </c>
      <c r="H600" s="207"/>
      <c r="I600" s="207"/>
      <c r="J600" s="207"/>
      <c r="K600" s="120"/>
      <c r="L600" s="120"/>
      <c r="M600" s="120"/>
      <c r="N600" s="17" t="str">
        <f>IF(O538&gt;0,"（曲げ圧縮応力度）","（曲げ引張応力度）")</f>
        <v>（曲げ圧縮応力度）</v>
      </c>
      <c r="O600" s="7"/>
      <c r="P600" s="16"/>
      <c r="Q600" s="7"/>
      <c r="R600" s="7"/>
      <c r="S600" s="7"/>
      <c r="T600" s="4" t="str">
        <f>IF(ABS(G600)&lt;=ABS(X600),"≦","&gt;")</f>
        <v>≦</v>
      </c>
      <c r="U600" s="116" t="str">
        <f>IF(O538&gt;0,"σca","σba")</f>
        <v>σca</v>
      </c>
      <c r="V600" s="116"/>
      <c r="W600" s="116"/>
      <c r="X600" s="207">
        <f>IF(O538&gt;0,$L$67,$L$68)</f>
        <v>4.5</v>
      </c>
      <c r="Y600" s="207"/>
      <c r="Z600" s="207"/>
      <c r="AA600" s="120"/>
      <c r="AB600" s="120"/>
      <c r="AC600" s="198"/>
      <c r="AD600" s="198"/>
      <c r="AE600" s="120"/>
      <c r="AF600" s="120"/>
      <c r="AG600" s="7"/>
      <c r="AH600" s="7"/>
      <c r="AI600" s="7" t="str">
        <f>IF(AND(ABS(G599)&lt;=ABS(X599),ABS(G600)&lt;=ABS(X600)),"OK","NG")</f>
        <v>OK</v>
      </c>
      <c r="AJ600" s="7"/>
      <c r="AK600" s="7"/>
      <c r="AL600" s="7"/>
      <c r="AM600" s="7"/>
      <c r="AN600" s="7"/>
    </row>
    <row r="601" spans="1:40" ht="15.75" customHeight="1">
      <c r="A601" s="23"/>
      <c r="B601" s="7"/>
      <c r="C601" s="7"/>
      <c r="D601" s="7"/>
      <c r="E601" s="7"/>
      <c r="F601" s="7"/>
      <c r="G601" s="16"/>
      <c r="H601" s="16"/>
      <c r="I601" s="16"/>
      <c r="J601" s="7"/>
      <c r="K601" s="7"/>
      <c r="L601" s="7"/>
      <c r="M601" s="17"/>
      <c r="N601" s="7"/>
      <c r="O601" s="7"/>
      <c r="P601" s="16"/>
      <c r="Q601" s="7"/>
      <c r="R601" s="7"/>
      <c r="S601" s="7"/>
      <c r="T601" s="7"/>
      <c r="U601" s="16"/>
      <c r="V601" s="16"/>
      <c r="W601" s="12"/>
      <c r="X601" s="12"/>
      <c r="Y601" s="4"/>
      <c r="Z601" s="30"/>
      <c r="AA601" s="30"/>
      <c r="AB601" s="30"/>
      <c r="AF601" s="7"/>
      <c r="AG601" s="7"/>
      <c r="AH601" s="7"/>
      <c r="AI601" s="7"/>
      <c r="AJ601" s="7"/>
      <c r="AK601" s="7"/>
      <c r="AL601" s="7"/>
      <c r="AM601" s="7"/>
      <c r="AN601" s="7"/>
    </row>
    <row r="602" spans="1:40" ht="15.75" customHeight="1">
      <c r="A602" s="23" t="s">
        <v>418</v>
      </c>
      <c r="B602" s="7"/>
      <c r="C602" s="7"/>
      <c r="D602" s="7"/>
      <c r="E602" s="7"/>
      <c r="F602" s="7"/>
      <c r="G602" s="16"/>
      <c r="H602" s="16"/>
      <c r="I602" s="16"/>
      <c r="J602" s="7"/>
      <c r="K602" s="7"/>
      <c r="L602" s="7"/>
      <c r="M602" s="17"/>
      <c r="N602" s="7"/>
      <c r="O602" s="7"/>
      <c r="P602" s="16"/>
      <c r="Q602" s="7"/>
      <c r="R602" s="7"/>
      <c r="S602" s="7"/>
      <c r="T602" s="7"/>
      <c r="U602" s="16"/>
      <c r="V602" s="16"/>
      <c r="W602" s="12"/>
      <c r="X602" s="12"/>
      <c r="Y602" s="4"/>
      <c r="Z602" s="30"/>
      <c r="AA602" s="30"/>
      <c r="AB602" s="30"/>
      <c r="AF602" s="7"/>
      <c r="AG602" s="7"/>
      <c r="AH602" s="7"/>
      <c r="AI602" s="7"/>
      <c r="AJ602" s="7"/>
      <c r="AK602" s="7"/>
      <c r="AL602" s="7"/>
      <c r="AM602" s="7"/>
      <c r="AN602" s="7"/>
    </row>
    <row r="603" spans="1:40" ht="15.75" customHeight="1">
      <c r="A603" s="23"/>
      <c r="B603" s="7"/>
      <c r="C603" s="7"/>
      <c r="D603" s="7"/>
      <c r="E603" s="7"/>
      <c r="F603" s="7"/>
      <c r="G603" s="16"/>
      <c r="H603" s="16"/>
      <c r="I603" s="16"/>
      <c r="J603" s="7"/>
      <c r="K603" s="7"/>
      <c r="L603" s="7"/>
      <c r="M603" s="17"/>
      <c r="N603" s="7"/>
      <c r="O603" s="7"/>
      <c r="P603" s="16"/>
      <c r="Q603" s="7"/>
      <c r="R603" s="7"/>
      <c r="S603" s="7"/>
      <c r="T603" s="7"/>
      <c r="U603" s="16"/>
      <c r="V603" s="16"/>
      <c r="W603" s="12"/>
      <c r="X603" s="12"/>
      <c r="Y603" s="4"/>
      <c r="Z603" s="30"/>
      <c r="AA603" s="30"/>
      <c r="AB603" s="30"/>
      <c r="AF603" s="7"/>
      <c r="AG603" s="7"/>
      <c r="AH603" s="7"/>
      <c r="AI603" s="7"/>
      <c r="AJ603" s="7"/>
      <c r="AK603" s="7"/>
      <c r="AL603" s="7"/>
      <c r="AM603" s="7"/>
      <c r="AN603" s="7"/>
    </row>
    <row r="604" spans="1:40" ht="15.75" customHeight="1">
      <c r="A604" s="23"/>
      <c r="B604" s="7" t="s">
        <v>392</v>
      </c>
      <c r="D604" s="4"/>
      <c r="E604" s="4"/>
      <c r="F604" s="7"/>
      <c r="G604" s="16"/>
      <c r="H604" s="16"/>
      <c r="I604" s="16"/>
      <c r="J604" s="7"/>
      <c r="K604" s="7"/>
      <c r="L604" s="7"/>
      <c r="M604" s="17"/>
      <c r="N604" s="7"/>
      <c r="O604" s="7"/>
      <c r="P604" s="16"/>
      <c r="Q604" s="7"/>
      <c r="R604" s="7"/>
      <c r="S604" s="7"/>
      <c r="T604" s="7"/>
      <c r="U604" s="16"/>
      <c r="V604" s="16"/>
      <c r="W604" s="12"/>
      <c r="X604" s="12"/>
      <c r="Y604" s="4"/>
      <c r="Z604" s="30"/>
      <c r="AA604" s="30"/>
      <c r="AB604" s="30"/>
      <c r="AF604" s="7"/>
      <c r="AG604" s="7"/>
      <c r="AH604" s="7"/>
      <c r="AI604" s="7"/>
      <c r="AJ604" s="7"/>
      <c r="AK604" s="7"/>
      <c r="AL604" s="7"/>
      <c r="AM604" s="7"/>
      <c r="AN604" s="7"/>
    </row>
    <row r="605" spans="1:40" ht="15.75" customHeight="1">
      <c r="A605" s="23"/>
      <c r="B605" s="7"/>
      <c r="C605" s="116" t="s">
        <v>417</v>
      </c>
      <c r="D605" s="116"/>
      <c r="E605" s="116" t="s">
        <v>180</v>
      </c>
      <c r="F605" s="207" t="s">
        <v>311</v>
      </c>
      <c r="G605" s="207">
        <f>ABS(O566)</f>
        <v>0.41</v>
      </c>
      <c r="H605" s="207"/>
      <c r="I605" s="207"/>
      <c r="J605" s="207" t="s">
        <v>312</v>
      </c>
      <c r="K605" s="120" t="s">
        <v>408</v>
      </c>
      <c r="L605" s="120"/>
      <c r="M605" s="120"/>
      <c r="N605" s="17" t="s">
        <v>409</v>
      </c>
      <c r="O605" s="7"/>
      <c r="P605" s="16"/>
      <c r="Q605" s="7"/>
      <c r="R605" s="7"/>
      <c r="S605" s="7"/>
      <c r="T605" s="4" t="str">
        <f>IF(ABS(G605)&lt;=ABS(X605),"≦","&gt;")</f>
        <v>≦</v>
      </c>
      <c r="U605" s="116" t="s">
        <v>494</v>
      </c>
      <c r="V605" s="116"/>
      <c r="W605" s="116" t="s">
        <v>180</v>
      </c>
      <c r="X605" s="207">
        <f>$L$67</f>
        <v>4.5</v>
      </c>
      <c r="Y605" s="207"/>
      <c r="Z605" s="207"/>
      <c r="AA605" s="120" t="s">
        <v>487</v>
      </c>
      <c r="AB605" s="120"/>
      <c r="AC605" s="198" t="s">
        <v>488</v>
      </c>
      <c r="AD605" s="198"/>
      <c r="AE605" s="120" t="str">
        <f>IF(O567&gt;0,AI605,AI606)</f>
        <v>OK</v>
      </c>
      <c r="AF605" s="120"/>
      <c r="AG605" s="7"/>
      <c r="AH605" s="7"/>
      <c r="AI605" s="7" t="str">
        <f>IF(G605&lt;X605,"OK","NG")</f>
        <v>OK</v>
      </c>
      <c r="AJ605" s="7"/>
      <c r="AK605" s="7"/>
      <c r="AL605" s="7"/>
      <c r="AM605" s="7"/>
      <c r="AN605" s="7"/>
    </row>
    <row r="606" spans="1:40" ht="15.75" customHeight="1">
      <c r="A606" s="23"/>
      <c r="B606" s="7"/>
      <c r="C606" s="116"/>
      <c r="D606" s="116"/>
      <c r="E606" s="116"/>
      <c r="F606" s="207"/>
      <c r="G606" s="207">
        <f>ABS(O567)</f>
        <v>0.41</v>
      </c>
      <c r="H606" s="207"/>
      <c r="I606" s="207"/>
      <c r="J606" s="207"/>
      <c r="K606" s="120"/>
      <c r="L606" s="120"/>
      <c r="M606" s="120"/>
      <c r="N606" s="17" t="str">
        <f>IF(O567&gt;0,"（曲げ圧縮応力度）","（曲げ引張応力度）")</f>
        <v>（曲げ圧縮応力度）</v>
      </c>
      <c r="O606" s="7"/>
      <c r="P606" s="16"/>
      <c r="Q606" s="7"/>
      <c r="R606" s="7"/>
      <c r="S606" s="7"/>
      <c r="T606" s="4" t="str">
        <f>IF(ABS(G606)&lt;=ABS(X606),"≦","&gt;")</f>
        <v>≦</v>
      </c>
      <c r="U606" s="116" t="str">
        <f>IF(O567&gt;0,"σca","σba")</f>
        <v>σca</v>
      </c>
      <c r="V606" s="116"/>
      <c r="W606" s="116"/>
      <c r="X606" s="207">
        <f>IF(O567&gt;0,$L$67,$L$68)</f>
        <v>4.5</v>
      </c>
      <c r="Y606" s="207"/>
      <c r="Z606" s="207"/>
      <c r="AA606" s="120"/>
      <c r="AB606" s="120"/>
      <c r="AC606" s="198"/>
      <c r="AD606" s="198"/>
      <c r="AE606" s="120"/>
      <c r="AF606" s="120"/>
      <c r="AG606" s="7"/>
      <c r="AH606" s="7"/>
      <c r="AI606" s="7" t="str">
        <f>IF(AND(ABS(G605)&lt;=ABS(X605),ABS(G606)&lt;=ABS(X606)),"OK","NG")</f>
        <v>OK</v>
      </c>
      <c r="AJ606" s="7"/>
      <c r="AK606" s="7"/>
      <c r="AL606" s="7"/>
      <c r="AM606" s="7"/>
      <c r="AN606" s="7"/>
    </row>
    <row r="607" spans="1:40" ht="15.75" customHeight="1">
      <c r="A607" s="23"/>
      <c r="B607" s="7"/>
      <c r="C607" s="7"/>
      <c r="D607" s="7"/>
      <c r="E607" s="7"/>
      <c r="F607" s="7"/>
      <c r="G607" s="16"/>
      <c r="H607" s="16"/>
      <c r="I607" s="16"/>
      <c r="J607" s="7"/>
      <c r="K607" s="7"/>
      <c r="L607" s="7"/>
      <c r="M607" s="17"/>
      <c r="N607" s="7"/>
      <c r="O607" s="7"/>
      <c r="P607" s="16"/>
      <c r="Q607" s="7"/>
      <c r="R607" s="7"/>
      <c r="S607" s="7"/>
      <c r="T607" s="7"/>
      <c r="U607" s="16"/>
      <c r="V607" s="16"/>
      <c r="W607" s="12"/>
      <c r="X607" s="12"/>
      <c r="Y607" s="4"/>
      <c r="Z607" s="30"/>
      <c r="AA607" s="30"/>
      <c r="AB607" s="30"/>
      <c r="AF607" s="7"/>
      <c r="AG607" s="7"/>
      <c r="AH607" s="7"/>
      <c r="AI607" s="7"/>
      <c r="AJ607" s="7"/>
      <c r="AK607" s="7"/>
      <c r="AL607" s="7"/>
      <c r="AM607" s="7"/>
      <c r="AN607" s="7"/>
    </row>
    <row r="608" spans="1:40" ht="15.75" customHeight="1">
      <c r="A608" s="23"/>
      <c r="B608" s="7" t="s">
        <v>410</v>
      </c>
      <c r="D608" s="4"/>
      <c r="E608" s="4"/>
      <c r="F608" s="7"/>
      <c r="G608" s="16"/>
      <c r="H608" s="16"/>
      <c r="I608" s="16"/>
      <c r="J608" s="7"/>
      <c r="K608" s="7"/>
      <c r="L608" s="7"/>
      <c r="M608" s="17"/>
      <c r="N608" s="7"/>
      <c r="O608" s="7"/>
      <c r="P608" s="16"/>
      <c r="Q608" s="7"/>
      <c r="R608" s="7"/>
      <c r="S608" s="7"/>
      <c r="T608" s="7"/>
      <c r="U608" s="16"/>
      <c r="V608" s="16"/>
      <c r="W608" s="12"/>
      <c r="X608" s="12"/>
      <c r="Y608" s="4"/>
      <c r="Z608" s="30"/>
      <c r="AA608" s="30"/>
      <c r="AB608" s="30"/>
      <c r="AF608" s="7"/>
      <c r="AG608" s="7"/>
      <c r="AH608" s="7"/>
      <c r="AI608" s="7"/>
      <c r="AJ608" s="7"/>
      <c r="AK608" s="7"/>
      <c r="AL608" s="7"/>
      <c r="AM608" s="7"/>
      <c r="AN608" s="7"/>
    </row>
    <row r="609" spans="1:40" ht="15.75" customHeight="1">
      <c r="A609" s="23"/>
      <c r="B609" s="7"/>
      <c r="C609" s="116" t="s">
        <v>417</v>
      </c>
      <c r="D609" s="116"/>
      <c r="E609" s="116" t="s">
        <v>180</v>
      </c>
      <c r="F609" s="207" t="s">
        <v>311</v>
      </c>
      <c r="G609" s="207">
        <f>ABS(O582)</f>
        <v>0.07</v>
      </c>
      <c r="H609" s="207"/>
      <c r="I609" s="207"/>
      <c r="J609" s="207" t="s">
        <v>312</v>
      </c>
      <c r="K609" s="120" t="s">
        <v>408</v>
      </c>
      <c r="L609" s="120"/>
      <c r="M609" s="120"/>
      <c r="N609" s="17" t="s">
        <v>409</v>
      </c>
      <c r="O609" s="7"/>
      <c r="P609" s="16"/>
      <c r="Q609" s="7"/>
      <c r="R609" s="7"/>
      <c r="S609" s="7"/>
      <c r="T609" s="4" t="str">
        <f>IF(ABS(G609)&lt;=ABS(X609),"≦","&gt;")</f>
        <v>≦</v>
      </c>
      <c r="U609" s="116" t="s">
        <v>494</v>
      </c>
      <c r="V609" s="116"/>
      <c r="W609" s="116" t="s">
        <v>180</v>
      </c>
      <c r="X609" s="207">
        <f>$L$67</f>
        <v>4.5</v>
      </c>
      <c r="Y609" s="207"/>
      <c r="Z609" s="207"/>
      <c r="AA609" s="120" t="s">
        <v>485</v>
      </c>
      <c r="AB609" s="120"/>
      <c r="AC609" s="198" t="s">
        <v>489</v>
      </c>
      <c r="AD609" s="198"/>
      <c r="AE609" s="120" t="str">
        <f>IF(O583&gt;0,AI609,AI610)</f>
        <v>OK</v>
      </c>
      <c r="AF609" s="120"/>
      <c r="AG609" s="7"/>
      <c r="AH609" s="7"/>
      <c r="AI609" s="7" t="str">
        <f>IF(G609&lt;X609,"OK","NG")</f>
        <v>OK</v>
      </c>
      <c r="AJ609" s="7"/>
      <c r="AK609" s="7"/>
      <c r="AL609" s="7"/>
      <c r="AM609" s="7"/>
      <c r="AN609" s="7"/>
    </row>
    <row r="610" spans="1:40" ht="15.75" customHeight="1">
      <c r="A610" s="23"/>
      <c r="B610" s="7"/>
      <c r="C610" s="116"/>
      <c r="D610" s="116"/>
      <c r="E610" s="116"/>
      <c r="F610" s="207"/>
      <c r="G610" s="207">
        <f>ABS(O583)</f>
        <v>0.07</v>
      </c>
      <c r="H610" s="207"/>
      <c r="I610" s="207"/>
      <c r="J610" s="207"/>
      <c r="K610" s="120"/>
      <c r="L610" s="120"/>
      <c r="M610" s="120"/>
      <c r="N610" s="17" t="str">
        <f>IF(O583&gt;0,"（曲げ圧縮応力度）","（曲げ引張応力度）")</f>
        <v>（曲げ圧縮応力度）</v>
      </c>
      <c r="O610" s="7"/>
      <c r="P610" s="16"/>
      <c r="Q610" s="7"/>
      <c r="R610" s="7"/>
      <c r="S610" s="7"/>
      <c r="T610" s="4" t="str">
        <f>IF(ABS(G610)&lt;=ABS(X610),"≦","&gt;")</f>
        <v>≦</v>
      </c>
      <c r="U610" s="116" t="str">
        <f>IF(O583&gt;0,"σca","σba")</f>
        <v>σca</v>
      </c>
      <c r="V610" s="116"/>
      <c r="W610" s="116"/>
      <c r="X610" s="207">
        <f>IF(O583&gt;0,$L$67,$L$68)</f>
        <v>4.5</v>
      </c>
      <c r="Y610" s="207"/>
      <c r="Z610" s="207"/>
      <c r="AA610" s="120"/>
      <c r="AB610" s="120"/>
      <c r="AC610" s="198"/>
      <c r="AD610" s="198"/>
      <c r="AE610" s="120"/>
      <c r="AF610" s="120"/>
      <c r="AG610" s="7"/>
      <c r="AH610" s="7"/>
      <c r="AI610" s="7" t="str">
        <f>IF(AND(ABS(G609)&lt;=ABS(X609),ABS(G610)&lt;=ABS(X610)),"OK","NG")</f>
        <v>OK</v>
      </c>
      <c r="AJ610" s="7"/>
      <c r="AK610" s="7"/>
      <c r="AL610" s="7"/>
      <c r="AM610" s="7"/>
      <c r="AN610" s="7"/>
    </row>
    <row r="611" spans="1:35" ht="15.75" customHeight="1">
      <c r="A611" s="23"/>
      <c r="B611" s="7"/>
      <c r="C611" s="7"/>
      <c r="D611" s="7"/>
      <c r="E611" s="7"/>
      <c r="F611" s="7"/>
      <c r="G611" s="16"/>
      <c r="H611" s="16"/>
      <c r="I611" s="16"/>
      <c r="J611" s="7"/>
      <c r="K611" s="7"/>
      <c r="L611" s="7"/>
      <c r="M611" s="17"/>
      <c r="N611" s="7"/>
      <c r="O611" s="7"/>
      <c r="P611" s="16"/>
      <c r="Q611" s="7"/>
      <c r="R611" s="7"/>
      <c r="S611" s="7"/>
      <c r="T611" s="7"/>
      <c r="U611" s="16"/>
      <c r="V611" s="16"/>
      <c r="W611" s="12"/>
      <c r="X611" s="12"/>
      <c r="Y611" s="4"/>
      <c r="Z611" s="30"/>
      <c r="AA611" s="30"/>
      <c r="AB611" s="30"/>
      <c r="AF611" s="7"/>
      <c r="AG611" s="7"/>
      <c r="AH611" s="7"/>
      <c r="AI611" s="7"/>
    </row>
    <row r="612" spans="1:10" ht="15.75" customHeight="1">
      <c r="A612" s="2" t="s">
        <v>419</v>
      </c>
      <c r="C612" s="7"/>
      <c r="D612" s="30"/>
      <c r="E612" s="7"/>
      <c r="F612" s="7"/>
      <c r="G612" s="30"/>
      <c r="H612" s="7"/>
      <c r="I612" s="7"/>
      <c r="J612" s="7"/>
    </row>
    <row r="613" spans="3:10" ht="15.75" customHeight="1">
      <c r="C613" s="7"/>
      <c r="D613" s="30"/>
      <c r="E613" s="7"/>
      <c r="F613" s="7"/>
      <c r="G613" s="30"/>
      <c r="H613" s="7"/>
      <c r="I613" s="7"/>
      <c r="J613" s="7"/>
    </row>
    <row r="614" spans="1:10" ht="15.75" customHeight="1">
      <c r="A614" s="23" t="s">
        <v>420</v>
      </c>
      <c r="C614" s="7"/>
      <c r="D614" s="30"/>
      <c r="E614" s="7"/>
      <c r="F614" s="7"/>
      <c r="G614" s="30"/>
      <c r="H614" s="7"/>
      <c r="I614" s="7"/>
      <c r="J614" s="7"/>
    </row>
    <row r="615" spans="3:10" ht="15.75" customHeight="1">
      <c r="C615" s="7"/>
      <c r="D615" s="30"/>
      <c r="E615" s="7"/>
      <c r="F615" s="7"/>
      <c r="G615" s="30"/>
      <c r="H615" s="7"/>
      <c r="I615" s="7"/>
      <c r="J615" s="7"/>
    </row>
    <row r="616" spans="2:10" ht="15.75" customHeight="1">
      <c r="B616" s="7" t="s">
        <v>421</v>
      </c>
      <c r="C616" s="7"/>
      <c r="D616" s="30"/>
      <c r="E616" s="7"/>
      <c r="F616" s="7"/>
      <c r="G616" s="30"/>
      <c r="H616" s="7"/>
      <c r="I616" s="7"/>
      <c r="J616" s="7"/>
    </row>
    <row r="617" spans="3:30" ht="15.75" customHeight="1">
      <c r="C617" s="116" t="s">
        <v>422</v>
      </c>
      <c r="D617" s="116"/>
      <c r="E617" s="116" t="s">
        <v>180</v>
      </c>
      <c r="F617" s="118" t="s">
        <v>258</v>
      </c>
      <c r="G617" s="118"/>
      <c r="H617" s="118"/>
      <c r="I617" s="4"/>
      <c r="J617" s="116" t="s">
        <v>423</v>
      </c>
      <c r="K617" s="116"/>
      <c r="L617" s="116"/>
      <c r="M617" s="116"/>
      <c r="U617" s="7"/>
      <c r="V617" s="7"/>
      <c r="X617" s="123" t="s">
        <v>424</v>
      </c>
      <c r="Y617" s="123"/>
      <c r="Z617" s="123"/>
      <c r="AA617" s="123"/>
      <c r="AB617" s="123"/>
      <c r="AC617" s="123"/>
      <c r="AD617" s="123"/>
    </row>
    <row r="618" spans="2:30" ht="15.75" customHeight="1">
      <c r="B618" s="7"/>
      <c r="C618" s="116"/>
      <c r="D618" s="116"/>
      <c r="E618" s="116"/>
      <c r="F618" s="121" t="s">
        <v>425</v>
      </c>
      <c r="G618" s="121"/>
      <c r="H618" s="121"/>
      <c r="I618" s="4"/>
      <c r="J618" s="116"/>
      <c r="K618" s="116"/>
      <c r="L618" s="116"/>
      <c r="M618" s="116"/>
      <c r="U618" s="7"/>
      <c r="V618" s="7"/>
      <c r="X618" s="123"/>
      <c r="Y618" s="123"/>
      <c r="Z618" s="123"/>
      <c r="AA618" s="123"/>
      <c r="AB618" s="123"/>
      <c r="AC618" s="123"/>
      <c r="AD618" s="123"/>
    </row>
    <row r="619" spans="2:30" ht="15.75" customHeight="1">
      <c r="B619" s="7"/>
      <c r="D619" s="4"/>
      <c r="E619" s="116" t="s">
        <v>180</v>
      </c>
      <c r="F619" s="119">
        <f>Z344</f>
        <v>12.54</v>
      </c>
      <c r="G619" s="119"/>
      <c r="H619" s="119"/>
      <c r="U619" s="7"/>
      <c r="V619" s="7"/>
      <c r="X619" s="7"/>
      <c r="Y619" s="7"/>
      <c r="Z619" s="7"/>
      <c r="AA619" s="7"/>
      <c r="AB619" s="7"/>
      <c r="AC619" s="7"/>
      <c r="AD619" s="7"/>
    </row>
    <row r="620" spans="2:30" ht="15.75" customHeight="1">
      <c r="B620" s="7"/>
      <c r="D620" s="4"/>
      <c r="E620" s="116"/>
      <c r="F620" s="193">
        <v>1.2</v>
      </c>
      <c r="G620" s="193"/>
      <c r="H620" s="193"/>
      <c r="U620" s="7"/>
      <c r="V620" s="7"/>
      <c r="X620" s="7"/>
      <c r="Y620" s="7"/>
      <c r="Z620" s="7"/>
      <c r="AA620" s="7"/>
      <c r="AB620" s="7"/>
      <c r="AC620" s="7"/>
      <c r="AD620" s="7"/>
    </row>
    <row r="621" spans="2:30" ht="15.75" customHeight="1">
      <c r="B621" s="7"/>
      <c r="D621" s="4"/>
      <c r="E621" s="116" t="s">
        <v>180</v>
      </c>
      <c r="F621" s="207">
        <f>ROUND(F619/F620,2)</f>
        <v>10.45</v>
      </c>
      <c r="G621" s="207"/>
      <c r="H621" s="207"/>
      <c r="I621" s="120" t="s">
        <v>181</v>
      </c>
      <c r="J621" s="120"/>
      <c r="K621" s="4"/>
      <c r="L621" s="4"/>
      <c r="M621" s="4"/>
      <c r="U621" s="7"/>
      <c r="V621" s="7"/>
      <c r="X621" s="7"/>
      <c r="Y621" s="7"/>
      <c r="Z621" s="7"/>
      <c r="AA621" s="7"/>
      <c r="AB621" s="7"/>
      <c r="AC621" s="7"/>
      <c r="AD621" s="7"/>
    </row>
    <row r="622" spans="2:30" ht="15.75" customHeight="1">
      <c r="B622" s="7"/>
      <c r="D622" s="4"/>
      <c r="E622" s="116"/>
      <c r="F622" s="207"/>
      <c r="G622" s="207"/>
      <c r="H622" s="207"/>
      <c r="I622" s="120"/>
      <c r="J622" s="120"/>
      <c r="K622" s="4"/>
      <c r="L622" s="4"/>
      <c r="M622" s="4"/>
      <c r="U622" s="7"/>
      <c r="V622" s="7"/>
      <c r="X622" s="7"/>
      <c r="Y622" s="7"/>
      <c r="Z622" s="7"/>
      <c r="AA622" s="7"/>
      <c r="AB622" s="7"/>
      <c r="AC622" s="7"/>
      <c r="AD622" s="7"/>
    </row>
    <row r="623" spans="2:7" ht="15.75" customHeight="1">
      <c r="B623" s="7"/>
      <c r="C623" s="3"/>
      <c r="D623" s="3"/>
      <c r="G623" s="3"/>
    </row>
    <row r="624" spans="1:7" ht="15.75" customHeight="1">
      <c r="A624" s="23" t="s">
        <v>426</v>
      </c>
      <c r="B624" s="7"/>
      <c r="C624" s="3"/>
      <c r="D624" s="3"/>
      <c r="G624" s="3"/>
    </row>
    <row r="625" spans="2:7" ht="15.75" customHeight="1">
      <c r="B625" s="7"/>
      <c r="C625" s="3"/>
      <c r="D625" s="3"/>
      <c r="G625" s="3"/>
    </row>
    <row r="626" spans="2:10" ht="15.75" customHeight="1">
      <c r="B626" s="3" t="s">
        <v>427</v>
      </c>
      <c r="C626" s="7"/>
      <c r="D626" s="30"/>
      <c r="E626" s="7"/>
      <c r="F626" s="7"/>
      <c r="G626" s="30"/>
      <c r="H626" s="7"/>
      <c r="I626" s="7"/>
      <c r="J626" s="7"/>
    </row>
    <row r="627" spans="2:24" ht="15.75" customHeight="1">
      <c r="B627" s="7"/>
      <c r="C627" s="116" t="s">
        <v>428</v>
      </c>
      <c r="D627" s="116"/>
      <c r="E627" s="4" t="s">
        <v>180</v>
      </c>
      <c r="F627" s="116" t="s">
        <v>429</v>
      </c>
      <c r="G627" s="116"/>
      <c r="H627" s="4" t="s">
        <v>180</v>
      </c>
      <c r="I627" s="4" t="s">
        <v>243</v>
      </c>
      <c r="J627" s="207" t="s">
        <v>430</v>
      </c>
      <c r="K627" s="207"/>
      <c r="L627" s="207"/>
      <c r="M627" s="4" t="s">
        <v>229</v>
      </c>
      <c r="N627" s="207" t="s">
        <v>189</v>
      </c>
      <c r="O627" s="207"/>
      <c r="P627" s="207"/>
      <c r="Q627" s="4" t="s">
        <v>244</v>
      </c>
      <c r="X627" s="7" t="s">
        <v>431</v>
      </c>
    </row>
    <row r="628" spans="2:30" ht="15.75" customHeight="1">
      <c r="B628" s="7"/>
      <c r="C628" s="3"/>
      <c r="D628" s="3"/>
      <c r="G628" s="3"/>
      <c r="H628" s="4" t="s">
        <v>180</v>
      </c>
      <c r="I628" s="4" t="s">
        <v>243</v>
      </c>
      <c r="J628" s="207">
        <f>J154</f>
        <v>4.58</v>
      </c>
      <c r="K628" s="207"/>
      <c r="L628" s="207"/>
      <c r="M628" s="4" t="s">
        <v>229</v>
      </c>
      <c r="N628" s="207">
        <f>J159</f>
        <v>7.96</v>
      </c>
      <c r="O628" s="207"/>
      <c r="P628" s="207"/>
      <c r="Q628" s="4" t="s">
        <v>244</v>
      </c>
      <c r="Y628" s="7"/>
      <c r="Z628" s="7"/>
      <c r="AA628" s="7"/>
      <c r="AB628" s="7"/>
      <c r="AC628" s="7"/>
      <c r="AD628" s="7"/>
    </row>
    <row r="629" spans="2:30" ht="15.75" customHeight="1">
      <c r="B629" s="7"/>
      <c r="C629" s="3"/>
      <c r="D629" s="3"/>
      <c r="G629" s="3"/>
      <c r="H629" s="4" t="s">
        <v>180</v>
      </c>
      <c r="I629" s="155">
        <f>ROUND(J628+N628,2)</f>
        <v>12.54</v>
      </c>
      <c r="J629" s="155"/>
      <c r="K629" s="155"/>
      <c r="L629" s="3" t="s">
        <v>181</v>
      </c>
      <c r="X629" s="7"/>
      <c r="Y629" s="7"/>
      <c r="Z629" s="7"/>
      <c r="AA629" s="7"/>
      <c r="AB629" s="7"/>
      <c r="AC629" s="7"/>
      <c r="AD629" s="7"/>
    </row>
    <row r="630" spans="2:7" ht="15.75" customHeight="1">
      <c r="B630" s="7"/>
      <c r="C630" s="3"/>
      <c r="D630" s="3"/>
      <c r="G630" s="3"/>
    </row>
    <row r="631" spans="2:69" ht="15.75" customHeight="1">
      <c r="B631" s="3" t="s">
        <v>432</v>
      </c>
      <c r="C631" s="7"/>
      <c r="D631" s="30"/>
      <c r="E631" s="7"/>
      <c r="F631" s="7"/>
      <c r="G631" s="30"/>
      <c r="H631" s="7"/>
      <c r="I631" s="7"/>
      <c r="J631" s="7"/>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row>
    <row r="632" spans="3:69" ht="15.75" customHeight="1">
      <c r="C632" s="116" t="s">
        <v>433</v>
      </c>
      <c r="D632" s="116"/>
      <c r="E632" s="116" t="s">
        <v>180</v>
      </c>
      <c r="F632" s="118" t="s">
        <v>428</v>
      </c>
      <c r="G632" s="118"/>
      <c r="H632" s="118"/>
      <c r="X632" s="123" t="s">
        <v>434</v>
      </c>
      <c r="Y632" s="123"/>
      <c r="Z632" s="123"/>
      <c r="AA632" s="123"/>
      <c r="AB632" s="123"/>
      <c r="AC632" s="123"/>
      <c r="AD632" s="123"/>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row>
    <row r="633" spans="3:30" ht="15.75" customHeight="1">
      <c r="C633" s="116"/>
      <c r="D633" s="116"/>
      <c r="E633" s="116"/>
      <c r="F633" s="121">
        <f>M365</f>
        <v>2</v>
      </c>
      <c r="G633" s="121"/>
      <c r="H633" s="121"/>
      <c r="X633" s="123"/>
      <c r="Y633" s="123"/>
      <c r="Z633" s="123"/>
      <c r="AA633" s="123"/>
      <c r="AB633" s="123"/>
      <c r="AC633" s="123"/>
      <c r="AD633" s="123"/>
    </row>
    <row r="634" spans="3:10" ht="15.75" customHeight="1">
      <c r="C634" s="7"/>
      <c r="D634" s="30"/>
      <c r="E634" s="116" t="s">
        <v>180</v>
      </c>
      <c r="F634" s="119">
        <f>I629</f>
        <v>12.54</v>
      </c>
      <c r="G634" s="119"/>
      <c r="H634" s="119"/>
      <c r="I634" s="4"/>
      <c r="J634" s="15"/>
    </row>
    <row r="635" spans="3:26" ht="15.75" customHeight="1">
      <c r="C635" s="3"/>
      <c r="D635" s="3"/>
      <c r="E635" s="116"/>
      <c r="F635" s="121">
        <f>F633</f>
        <v>2</v>
      </c>
      <c r="G635" s="121"/>
      <c r="H635" s="121"/>
      <c r="I635" s="4"/>
      <c r="J635" s="15"/>
      <c r="Z635" s="3"/>
    </row>
    <row r="636" spans="3:49" ht="15.75" customHeight="1">
      <c r="C636" s="3"/>
      <c r="D636" s="3"/>
      <c r="E636" s="116" t="s">
        <v>180</v>
      </c>
      <c r="F636" s="207">
        <f>ROUND(F634/F635,2)</f>
        <v>6.27</v>
      </c>
      <c r="G636" s="207"/>
      <c r="H636" s="207"/>
      <c r="I636" s="120" t="s">
        <v>181</v>
      </c>
      <c r="J636" s="120"/>
      <c r="Z636" s="3"/>
      <c r="AJ636" s="4"/>
      <c r="AK636" s="4"/>
      <c r="AL636" s="4"/>
      <c r="AM636" s="4"/>
      <c r="AN636" s="4"/>
      <c r="AO636" s="4"/>
      <c r="AP636" s="4"/>
      <c r="AQ636" s="4"/>
      <c r="AR636" s="4"/>
      <c r="AS636" s="4"/>
      <c r="AT636" s="4"/>
      <c r="AU636" s="16"/>
      <c r="AV636" s="16"/>
      <c r="AW636" s="16"/>
    </row>
    <row r="637" spans="3:49" ht="15.75" customHeight="1">
      <c r="C637" s="3"/>
      <c r="D637" s="3"/>
      <c r="E637" s="116"/>
      <c r="F637" s="207"/>
      <c r="G637" s="207"/>
      <c r="H637" s="207"/>
      <c r="I637" s="120"/>
      <c r="J637" s="120"/>
      <c r="AI637" s="4"/>
      <c r="AJ637" s="4"/>
      <c r="AK637" s="4"/>
      <c r="AL637" s="4"/>
      <c r="AM637" s="4"/>
      <c r="AN637" s="4"/>
      <c r="AO637" s="4"/>
      <c r="AP637" s="15"/>
      <c r="AQ637" s="15"/>
      <c r="AR637" s="15"/>
      <c r="AS637" s="15"/>
      <c r="AT637" s="4"/>
      <c r="AU637" s="16"/>
      <c r="AV637" s="16"/>
      <c r="AW637" s="16"/>
    </row>
    <row r="638" spans="3:49" ht="15.75" customHeight="1">
      <c r="C638" s="3"/>
      <c r="D638" s="3"/>
      <c r="G638" s="3"/>
      <c r="I638" s="4"/>
      <c r="J638" s="15"/>
      <c r="AI638" s="4"/>
      <c r="AJ638" s="4"/>
      <c r="AK638" s="4"/>
      <c r="AL638" s="4"/>
      <c r="AM638" s="4"/>
      <c r="AN638" s="4"/>
      <c r="AO638" s="4"/>
      <c r="AP638" s="4"/>
      <c r="AQ638" s="4"/>
      <c r="AR638" s="4"/>
      <c r="AS638" s="4"/>
      <c r="AT638" s="4"/>
      <c r="AU638" s="16"/>
      <c r="AV638" s="16"/>
      <c r="AW638" s="16"/>
    </row>
    <row r="639" spans="1:49" ht="15.75" customHeight="1">
      <c r="A639" s="23" t="s">
        <v>435</v>
      </c>
      <c r="D639" s="4"/>
      <c r="G639" s="3"/>
      <c r="AI639" s="4"/>
      <c r="AJ639" s="4"/>
      <c r="AK639" s="4"/>
      <c r="AL639" s="4"/>
      <c r="AM639" s="4"/>
      <c r="AN639" s="4"/>
      <c r="AO639" s="4"/>
      <c r="AP639" s="15"/>
      <c r="AQ639" s="15"/>
      <c r="AR639" s="15"/>
      <c r="AS639" s="15"/>
      <c r="AT639" s="4"/>
      <c r="AU639" s="16"/>
      <c r="AV639" s="16"/>
      <c r="AW639" s="16"/>
    </row>
    <row r="640" spans="3:35" ht="15.75" customHeight="1">
      <c r="C640" s="116" t="s">
        <v>436</v>
      </c>
      <c r="D640" s="116"/>
      <c r="E640" s="116" t="s">
        <v>180</v>
      </c>
      <c r="F640" s="207">
        <f>F621</f>
        <v>10.45</v>
      </c>
      <c r="G640" s="207"/>
      <c r="H640" s="207"/>
      <c r="I640" s="120" t="s">
        <v>181</v>
      </c>
      <c r="J640" s="120"/>
      <c r="K640" s="116" t="str">
        <f>IF(F621&gt;=O640,"≧","&lt;")</f>
        <v>≧</v>
      </c>
      <c r="L640" s="116" t="s">
        <v>437</v>
      </c>
      <c r="M640" s="116"/>
      <c r="N640" s="116" t="s">
        <v>180</v>
      </c>
      <c r="O640" s="155">
        <f>F636</f>
        <v>6.27</v>
      </c>
      <c r="P640" s="155"/>
      <c r="Q640" s="155"/>
      <c r="R640" s="120" t="s">
        <v>181</v>
      </c>
      <c r="S640" s="120"/>
      <c r="T640" s="198" t="s">
        <v>318</v>
      </c>
      <c r="U640" s="198"/>
      <c r="V640" s="123" t="str">
        <f>IF(F621&gt;=O640,"OK","NG")</f>
        <v>OK</v>
      </c>
      <c r="W640" s="123"/>
      <c r="AI640" s="4"/>
    </row>
    <row r="641" spans="3:23" ht="15.75" customHeight="1">
      <c r="C641" s="116"/>
      <c r="D641" s="116"/>
      <c r="E641" s="116"/>
      <c r="F641" s="207"/>
      <c r="G641" s="207"/>
      <c r="H641" s="207"/>
      <c r="I641" s="120"/>
      <c r="J641" s="120"/>
      <c r="K641" s="116"/>
      <c r="L641" s="116"/>
      <c r="M641" s="116"/>
      <c r="N641" s="116"/>
      <c r="O641" s="155"/>
      <c r="P641" s="155"/>
      <c r="Q641" s="155"/>
      <c r="R641" s="120"/>
      <c r="S641" s="120"/>
      <c r="T641" s="198"/>
      <c r="U641" s="198"/>
      <c r="V641" s="123"/>
      <c r="W641" s="123"/>
    </row>
    <row r="642" spans="4:17" ht="15.75" customHeight="1">
      <c r="D642" s="4"/>
      <c r="G642" s="3"/>
      <c r="K642" s="15"/>
      <c r="L642" s="15"/>
      <c r="M642" s="15"/>
      <c r="N642" s="4"/>
      <c r="O642" s="16"/>
      <c r="P642" s="16"/>
      <c r="Q642" s="16"/>
    </row>
    <row r="643" spans="4:17" ht="15.75" customHeight="1">
      <c r="D643" s="4"/>
      <c r="K643" s="15"/>
      <c r="L643" s="15"/>
      <c r="M643" s="15"/>
      <c r="N643" s="4"/>
      <c r="O643" s="16"/>
      <c r="P643" s="16"/>
      <c r="Q643" s="16"/>
    </row>
    <row r="644" spans="1:7" ht="15.75" customHeight="1">
      <c r="A644" s="3"/>
      <c r="C644" s="3"/>
      <c r="D644" s="3"/>
      <c r="G644" s="3"/>
    </row>
    <row r="645" spans="1:26" ht="15.75" customHeight="1">
      <c r="A645" s="3"/>
      <c r="C645" s="3"/>
      <c r="D645" s="3"/>
      <c r="G645" s="3"/>
      <c r="Z645" s="3"/>
    </row>
    <row r="646" spans="1:26" ht="15.75" customHeight="1">
      <c r="A646" s="3"/>
      <c r="C646" s="3"/>
      <c r="D646" s="3"/>
      <c r="G646" s="3"/>
      <c r="Z646" s="3"/>
    </row>
    <row r="650" spans="6:11" ht="15.75" customHeight="1">
      <c r="F650" s="7"/>
      <c r="G650" s="4"/>
      <c r="H650" s="5"/>
      <c r="K650" s="5"/>
    </row>
    <row r="651" spans="7:12" ht="15.75" customHeight="1">
      <c r="G651" s="3"/>
      <c r="I651" s="4"/>
      <c r="J651" s="4"/>
      <c r="K651" s="4"/>
      <c r="L651" s="4"/>
    </row>
    <row r="652" spans="7:12" ht="15.75" customHeight="1">
      <c r="G652" s="3"/>
      <c r="I652" s="4"/>
      <c r="J652" s="4"/>
      <c r="K652" s="4"/>
      <c r="L652" s="4"/>
    </row>
  </sheetData>
  <sheetProtection password="9DCD" sheet="1"/>
  <mergeCells count="1274">
    <mergeCell ref="B314:C314"/>
    <mergeCell ref="E314:F314"/>
    <mergeCell ref="M309:M310"/>
    <mergeCell ref="N309:P310"/>
    <mergeCell ref="Q309:R310"/>
    <mergeCell ref="F310:H310"/>
    <mergeCell ref="J310:L310"/>
    <mergeCell ref="C312:D312"/>
    <mergeCell ref="F312:H312"/>
    <mergeCell ref="L312:M312"/>
    <mergeCell ref="O312:Q312"/>
    <mergeCell ref="F305:H305"/>
    <mergeCell ref="K305:M305"/>
    <mergeCell ref="O305:Q305"/>
    <mergeCell ref="S305:U305"/>
    <mergeCell ref="F306:H306"/>
    <mergeCell ref="C309:D310"/>
    <mergeCell ref="E309:E310"/>
    <mergeCell ref="F309:H309"/>
    <mergeCell ref="I309:I310"/>
    <mergeCell ref="J309:L309"/>
    <mergeCell ref="M300:O300"/>
    <mergeCell ref="Q300:S300"/>
    <mergeCell ref="U300:W300"/>
    <mergeCell ref="Y300:AA300"/>
    <mergeCell ref="M301:O301"/>
    <mergeCell ref="C304:D304"/>
    <mergeCell ref="F304:V304"/>
    <mergeCell ref="H295:I295"/>
    <mergeCell ref="K295:M295"/>
    <mergeCell ref="H296:I296"/>
    <mergeCell ref="K296:M296"/>
    <mergeCell ref="N296:V296"/>
    <mergeCell ref="C297:G298"/>
    <mergeCell ref="H297:I297"/>
    <mergeCell ref="K297:L297"/>
    <mergeCell ref="N297:P297"/>
    <mergeCell ref="AA287:AC287"/>
    <mergeCell ref="AE287:AF287"/>
    <mergeCell ref="M288:O288"/>
    <mergeCell ref="C291:G292"/>
    <mergeCell ref="H291:I292"/>
    <mergeCell ref="J291:J292"/>
    <mergeCell ref="K291:M292"/>
    <mergeCell ref="N291:P292"/>
    <mergeCell ref="V284:X284"/>
    <mergeCell ref="E287:K287"/>
    <mergeCell ref="M287:O287"/>
    <mergeCell ref="Q287:R287"/>
    <mergeCell ref="T287:U287"/>
    <mergeCell ref="W287:Y287"/>
    <mergeCell ref="C283:G284"/>
    <mergeCell ref="H283:I283"/>
    <mergeCell ref="N283:O283"/>
    <mergeCell ref="Q283:R283"/>
    <mergeCell ref="N284:O284"/>
    <mergeCell ref="Q284:R284"/>
    <mergeCell ref="R280:S280"/>
    <mergeCell ref="L281:M281"/>
    <mergeCell ref="O281:P281"/>
    <mergeCell ref="R281:S281"/>
    <mergeCell ref="U281:W281"/>
    <mergeCell ref="H282:I282"/>
    <mergeCell ref="K282:M282"/>
    <mergeCell ref="N282:V282"/>
    <mergeCell ref="H279:I279"/>
    <mergeCell ref="K279:M279"/>
    <mergeCell ref="C280:G281"/>
    <mergeCell ref="H280:I280"/>
    <mergeCell ref="L280:M280"/>
    <mergeCell ref="O280:P280"/>
    <mergeCell ref="C276:G277"/>
    <mergeCell ref="H276:I277"/>
    <mergeCell ref="J276:J277"/>
    <mergeCell ref="K276:M277"/>
    <mergeCell ref="N276:P277"/>
    <mergeCell ref="H278:I278"/>
    <mergeCell ref="K278:M278"/>
    <mergeCell ref="V270:X270"/>
    <mergeCell ref="L272:N272"/>
    <mergeCell ref="P272:R272"/>
    <mergeCell ref="T272:V272"/>
    <mergeCell ref="X272:Z272"/>
    <mergeCell ref="L273:N273"/>
    <mergeCell ref="AC267:AD268"/>
    <mergeCell ref="K268:M268"/>
    <mergeCell ref="O268:Q268"/>
    <mergeCell ref="C269:G270"/>
    <mergeCell ref="H269:I269"/>
    <mergeCell ref="N269:O269"/>
    <mergeCell ref="Q269:R269"/>
    <mergeCell ref="N270:O270"/>
    <mergeCell ref="Q270:R270"/>
    <mergeCell ref="O267:Q267"/>
    <mergeCell ref="R267:R268"/>
    <mergeCell ref="S267:U268"/>
    <mergeCell ref="W267:X268"/>
    <mergeCell ref="Y267:Y268"/>
    <mergeCell ref="Z267:AB268"/>
    <mergeCell ref="K266:M266"/>
    <mergeCell ref="C267:G268"/>
    <mergeCell ref="H267:I268"/>
    <mergeCell ref="J267:J268"/>
    <mergeCell ref="K267:M267"/>
    <mergeCell ref="N267:N268"/>
    <mergeCell ref="L293:O293"/>
    <mergeCell ref="P293:R293"/>
    <mergeCell ref="T293:V293"/>
    <mergeCell ref="H294:I294"/>
    <mergeCell ref="L294:N294"/>
    <mergeCell ref="P294:R294"/>
    <mergeCell ref="T294:V294"/>
    <mergeCell ref="H265:I265"/>
    <mergeCell ref="K265:M265"/>
    <mergeCell ref="H266:I266"/>
    <mergeCell ref="C239:G240"/>
    <mergeCell ref="H239:I239"/>
    <mergeCell ref="K239:L239"/>
    <mergeCell ref="N239:P239"/>
    <mergeCell ref="H264:I264"/>
    <mergeCell ref="K264:M264"/>
    <mergeCell ref="C246:D246"/>
    <mergeCell ref="J252:L252"/>
    <mergeCell ref="C254:D254"/>
    <mergeCell ref="F254:H254"/>
    <mergeCell ref="C211:G212"/>
    <mergeCell ref="H211:I211"/>
    <mergeCell ref="N211:O211"/>
    <mergeCell ref="Q211:R211"/>
    <mergeCell ref="N212:O212"/>
    <mergeCell ref="Q212:R212"/>
    <mergeCell ref="AE229:AF229"/>
    <mergeCell ref="AA229:AC229"/>
    <mergeCell ref="H225:I225"/>
    <mergeCell ref="C225:G226"/>
    <mergeCell ref="N225:O225"/>
    <mergeCell ref="Q225:R225"/>
    <mergeCell ref="W229:Y229"/>
    <mergeCell ref="O222:P222"/>
    <mergeCell ref="R222:S222"/>
    <mergeCell ref="L223:M223"/>
    <mergeCell ref="O223:P223"/>
    <mergeCell ref="R223:S223"/>
    <mergeCell ref="U223:W223"/>
    <mergeCell ref="N640:N641"/>
    <mergeCell ref="O640:Q641"/>
    <mergeCell ref="R640:S641"/>
    <mergeCell ref="T640:U641"/>
    <mergeCell ref="V640:W641"/>
    <mergeCell ref="U609:V609"/>
    <mergeCell ref="W609:W610"/>
    <mergeCell ref="C640:D641"/>
    <mergeCell ref="E640:E641"/>
    <mergeCell ref="F640:H641"/>
    <mergeCell ref="I640:J641"/>
    <mergeCell ref="K640:K641"/>
    <mergeCell ref="L640:M641"/>
    <mergeCell ref="E634:E635"/>
    <mergeCell ref="F634:H634"/>
    <mergeCell ref="F635:H635"/>
    <mergeCell ref="E636:E637"/>
    <mergeCell ref="F636:H637"/>
    <mergeCell ref="I636:J637"/>
    <mergeCell ref="I629:K629"/>
    <mergeCell ref="C632:D633"/>
    <mergeCell ref="E632:E633"/>
    <mergeCell ref="F632:H632"/>
    <mergeCell ref="X632:AD633"/>
    <mergeCell ref="F633:H633"/>
    <mergeCell ref="C627:D627"/>
    <mergeCell ref="F627:G627"/>
    <mergeCell ref="J627:L627"/>
    <mergeCell ref="N627:P627"/>
    <mergeCell ref="J628:L628"/>
    <mergeCell ref="N628:P628"/>
    <mergeCell ref="E619:E620"/>
    <mergeCell ref="F619:H619"/>
    <mergeCell ref="F620:H620"/>
    <mergeCell ref="E621:E622"/>
    <mergeCell ref="F621:H622"/>
    <mergeCell ref="I621:J622"/>
    <mergeCell ref="C617:D618"/>
    <mergeCell ref="E617:E618"/>
    <mergeCell ref="F617:H617"/>
    <mergeCell ref="J617:M618"/>
    <mergeCell ref="X617:AD618"/>
    <mergeCell ref="F618:H618"/>
    <mergeCell ref="X609:Z609"/>
    <mergeCell ref="AA609:AB610"/>
    <mergeCell ref="AC609:AD610"/>
    <mergeCell ref="AE609:AF610"/>
    <mergeCell ref="U610:V610"/>
    <mergeCell ref="X610:Z610"/>
    <mergeCell ref="C609:D610"/>
    <mergeCell ref="E609:E610"/>
    <mergeCell ref="F609:F610"/>
    <mergeCell ref="G609:I609"/>
    <mergeCell ref="J609:J610"/>
    <mergeCell ref="K609:M610"/>
    <mergeCell ref="G610:I610"/>
    <mergeCell ref="X605:Z605"/>
    <mergeCell ref="AA605:AB606"/>
    <mergeCell ref="AC605:AD606"/>
    <mergeCell ref="AE605:AF606"/>
    <mergeCell ref="U606:V606"/>
    <mergeCell ref="X606:Z606"/>
    <mergeCell ref="U605:V605"/>
    <mergeCell ref="W605:W606"/>
    <mergeCell ref="C605:D606"/>
    <mergeCell ref="E605:E606"/>
    <mergeCell ref="F605:F606"/>
    <mergeCell ref="G605:I605"/>
    <mergeCell ref="J605:J606"/>
    <mergeCell ref="K605:M606"/>
    <mergeCell ref="G606:I606"/>
    <mergeCell ref="U599:V599"/>
    <mergeCell ref="W599:W600"/>
    <mergeCell ref="X599:Z599"/>
    <mergeCell ref="AA599:AB600"/>
    <mergeCell ref="AC599:AD600"/>
    <mergeCell ref="AE599:AF600"/>
    <mergeCell ref="U600:V600"/>
    <mergeCell ref="X600:Z600"/>
    <mergeCell ref="C599:D600"/>
    <mergeCell ref="E599:E600"/>
    <mergeCell ref="F599:F600"/>
    <mergeCell ref="G599:I599"/>
    <mergeCell ref="J599:J600"/>
    <mergeCell ref="K599:M600"/>
    <mergeCell ref="G600:I600"/>
    <mergeCell ref="U595:V595"/>
    <mergeCell ref="W595:W596"/>
    <mergeCell ref="X595:Z595"/>
    <mergeCell ref="AA595:AB596"/>
    <mergeCell ref="AC595:AD596"/>
    <mergeCell ref="AE595:AF596"/>
    <mergeCell ref="U596:V596"/>
    <mergeCell ref="X596:Z596"/>
    <mergeCell ref="F592:H592"/>
    <mergeCell ref="J592:L592"/>
    <mergeCell ref="O592:P592"/>
    <mergeCell ref="C595:D596"/>
    <mergeCell ref="E595:E596"/>
    <mergeCell ref="F595:F596"/>
    <mergeCell ref="G595:I595"/>
    <mergeCell ref="J595:J596"/>
    <mergeCell ref="K595:M596"/>
    <mergeCell ref="G596:I596"/>
    <mergeCell ref="B589:AG589"/>
    <mergeCell ref="C591:D592"/>
    <mergeCell ref="E591:E592"/>
    <mergeCell ref="F591:H591"/>
    <mergeCell ref="I591:I592"/>
    <mergeCell ref="J591:L591"/>
    <mergeCell ref="M591:N592"/>
    <mergeCell ref="O591:P591"/>
    <mergeCell ref="Q591:Q592"/>
    <mergeCell ref="AB591:AG592"/>
    <mergeCell ref="M582:M583"/>
    <mergeCell ref="N582:N583"/>
    <mergeCell ref="O582:Q582"/>
    <mergeCell ref="R582:R583"/>
    <mergeCell ref="S582:U583"/>
    <mergeCell ref="O583:Q583"/>
    <mergeCell ref="R578:U578"/>
    <mergeCell ref="F579:H579"/>
    <mergeCell ref="J579:L579"/>
    <mergeCell ref="N579:P579"/>
    <mergeCell ref="R579:U579"/>
    <mergeCell ref="M580:M581"/>
    <mergeCell ref="N580:P581"/>
    <mergeCell ref="Q580:Q581"/>
    <mergeCell ref="R580:T581"/>
    <mergeCell ref="Y576:Z576"/>
    <mergeCell ref="AB576:AD576"/>
    <mergeCell ref="C578:D579"/>
    <mergeCell ref="E578:E579"/>
    <mergeCell ref="F578:H578"/>
    <mergeCell ref="I578:I579"/>
    <mergeCell ref="J578:L578"/>
    <mergeCell ref="M578:M579"/>
    <mergeCell ref="N578:P578"/>
    <mergeCell ref="Q578:Q579"/>
    <mergeCell ref="C575:I575"/>
    <mergeCell ref="J575:K575"/>
    <mergeCell ref="N575:Q575"/>
    <mergeCell ref="C576:I576"/>
    <mergeCell ref="J576:K576"/>
    <mergeCell ref="U576:V576"/>
    <mergeCell ref="C573:I573"/>
    <mergeCell ref="J573:K573"/>
    <mergeCell ref="N573:P573"/>
    <mergeCell ref="C574:I574"/>
    <mergeCell ref="J574:K574"/>
    <mergeCell ref="N574:P574"/>
    <mergeCell ref="AB569:AG570"/>
    <mergeCell ref="C570:D571"/>
    <mergeCell ref="E570:E571"/>
    <mergeCell ref="F570:H570"/>
    <mergeCell ref="I570:I571"/>
    <mergeCell ref="J570:L570"/>
    <mergeCell ref="F571:H571"/>
    <mergeCell ref="J571:L571"/>
    <mergeCell ref="M566:M567"/>
    <mergeCell ref="N566:N567"/>
    <mergeCell ref="O566:Q566"/>
    <mergeCell ref="R566:R567"/>
    <mergeCell ref="S566:U567"/>
    <mergeCell ref="O567:Q567"/>
    <mergeCell ref="R562:U562"/>
    <mergeCell ref="F563:H563"/>
    <mergeCell ref="J563:L563"/>
    <mergeCell ref="N563:P563"/>
    <mergeCell ref="R563:U563"/>
    <mergeCell ref="M564:M565"/>
    <mergeCell ref="N564:P565"/>
    <mergeCell ref="Q564:Q565"/>
    <mergeCell ref="R564:T565"/>
    <mergeCell ref="Y560:Z560"/>
    <mergeCell ref="AB560:AD560"/>
    <mergeCell ref="C562:D563"/>
    <mergeCell ref="E562:E563"/>
    <mergeCell ref="F562:H562"/>
    <mergeCell ref="I562:I563"/>
    <mergeCell ref="J562:L562"/>
    <mergeCell ref="M562:M563"/>
    <mergeCell ref="N562:P562"/>
    <mergeCell ref="Q562:Q563"/>
    <mergeCell ref="C559:I559"/>
    <mergeCell ref="J559:K559"/>
    <mergeCell ref="N559:Q559"/>
    <mergeCell ref="C560:I560"/>
    <mergeCell ref="J560:K560"/>
    <mergeCell ref="U560:V560"/>
    <mergeCell ref="J555:L555"/>
    <mergeCell ref="C557:I557"/>
    <mergeCell ref="J557:K557"/>
    <mergeCell ref="N557:P557"/>
    <mergeCell ref="C558:I558"/>
    <mergeCell ref="J558:K558"/>
    <mergeCell ref="N558:P558"/>
    <mergeCell ref="AB550:AG551"/>
    <mergeCell ref="I551:K551"/>
    <mergeCell ref="Q551:S551"/>
    <mergeCell ref="C554:D555"/>
    <mergeCell ref="E554:E555"/>
    <mergeCell ref="F554:H554"/>
    <mergeCell ref="I554:I555"/>
    <mergeCell ref="J554:L554"/>
    <mergeCell ref="AB554:AG555"/>
    <mergeCell ref="F555:H555"/>
    <mergeCell ref="M550:O551"/>
    <mergeCell ref="P550:P551"/>
    <mergeCell ref="Q550:S550"/>
    <mergeCell ref="T550:T551"/>
    <mergeCell ref="U550:W551"/>
    <mergeCell ref="X550:Z551"/>
    <mergeCell ref="N546:P547"/>
    <mergeCell ref="Q546:R547"/>
    <mergeCell ref="AB546:AG547"/>
    <mergeCell ref="F547:H547"/>
    <mergeCell ref="J547:L547"/>
    <mergeCell ref="C550:D551"/>
    <mergeCell ref="E550:E551"/>
    <mergeCell ref="F550:H551"/>
    <mergeCell ref="I550:K550"/>
    <mergeCell ref="L550:L551"/>
    <mergeCell ref="C543:D543"/>
    <mergeCell ref="K543:M543"/>
    <mergeCell ref="O543:Q543"/>
    <mergeCell ref="S543:U543"/>
    <mergeCell ref="C546:D547"/>
    <mergeCell ref="E546:E547"/>
    <mergeCell ref="F546:H546"/>
    <mergeCell ref="I546:I547"/>
    <mergeCell ref="J546:L546"/>
    <mergeCell ref="M546:M547"/>
    <mergeCell ref="M537:M538"/>
    <mergeCell ref="N537:N538"/>
    <mergeCell ref="O537:Q537"/>
    <mergeCell ref="R537:R538"/>
    <mergeCell ref="S537:U538"/>
    <mergeCell ref="O538:Q538"/>
    <mergeCell ref="R533:U533"/>
    <mergeCell ref="F534:H534"/>
    <mergeCell ref="J534:L534"/>
    <mergeCell ref="N534:P534"/>
    <mergeCell ref="R534:U534"/>
    <mergeCell ref="M535:M536"/>
    <mergeCell ref="N535:P536"/>
    <mergeCell ref="Q535:Q536"/>
    <mergeCell ref="R535:T536"/>
    <mergeCell ref="Y531:Z531"/>
    <mergeCell ref="AB531:AD531"/>
    <mergeCell ref="C533:D534"/>
    <mergeCell ref="E533:E534"/>
    <mergeCell ref="F533:H533"/>
    <mergeCell ref="I533:I534"/>
    <mergeCell ref="J533:L533"/>
    <mergeCell ref="M533:M534"/>
    <mergeCell ref="N533:P533"/>
    <mergeCell ref="Q533:Q534"/>
    <mergeCell ref="C530:I530"/>
    <mergeCell ref="J530:L530"/>
    <mergeCell ref="N530:Q530"/>
    <mergeCell ref="C531:I531"/>
    <mergeCell ref="J531:L531"/>
    <mergeCell ref="U531:V531"/>
    <mergeCell ref="C528:I528"/>
    <mergeCell ref="J528:L528"/>
    <mergeCell ref="N528:P528"/>
    <mergeCell ref="C529:I529"/>
    <mergeCell ref="J529:L529"/>
    <mergeCell ref="N529:P529"/>
    <mergeCell ref="C525:D526"/>
    <mergeCell ref="E525:E526"/>
    <mergeCell ref="F525:H525"/>
    <mergeCell ref="I525:I526"/>
    <mergeCell ref="J525:L525"/>
    <mergeCell ref="Y525:AD526"/>
    <mergeCell ref="F526:H526"/>
    <mergeCell ref="J526:L526"/>
    <mergeCell ref="M521:M522"/>
    <mergeCell ref="N521:N522"/>
    <mergeCell ref="O521:Q521"/>
    <mergeCell ref="R521:R522"/>
    <mergeCell ref="S521:U522"/>
    <mergeCell ref="O522:Q522"/>
    <mergeCell ref="R517:U517"/>
    <mergeCell ref="F518:H518"/>
    <mergeCell ref="J518:L518"/>
    <mergeCell ref="N518:P518"/>
    <mergeCell ref="R518:U518"/>
    <mergeCell ref="M519:M520"/>
    <mergeCell ref="N519:P520"/>
    <mergeCell ref="Q519:Q520"/>
    <mergeCell ref="R519:T520"/>
    <mergeCell ref="Y515:Z515"/>
    <mergeCell ref="AB515:AD515"/>
    <mergeCell ref="C517:D518"/>
    <mergeCell ref="E517:E518"/>
    <mergeCell ref="F517:H517"/>
    <mergeCell ref="I517:I518"/>
    <mergeCell ref="J517:L517"/>
    <mergeCell ref="M517:M518"/>
    <mergeCell ref="N517:P517"/>
    <mergeCell ref="Q517:Q518"/>
    <mergeCell ref="C514:I514"/>
    <mergeCell ref="J514:L514"/>
    <mergeCell ref="N514:Q514"/>
    <mergeCell ref="C515:I515"/>
    <mergeCell ref="J515:L515"/>
    <mergeCell ref="U515:V515"/>
    <mergeCell ref="F510:H510"/>
    <mergeCell ref="J510:L510"/>
    <mergeCell ref="C512:I512"/>
    <mergeCell ref="J512:L512"/>
    <mergeCell ref="N512:P512"/>
    <mergeCell ref="C513:I513"/>
    <mergeCell ref="J513:L513"/>
    <mergeCell ref="N513:P513"/>
    <mergeCell ref="U506:W507"/>
    <mergeCell ref="X506:Z507"/>
    <mergeCell ref="I507:K507"/>
    <mergeCell ref="Q507:S507"/>
    <mergeCell ref="C509:D510"/>
    <mergeCell ref="E509:E510"/>
    <mergeCell ref="F509:H509"/>
    <mergeCell ref="I509:I510"/>
    <mergeCell ref="J509:L509"/>
    <mergeCell ref="Y509:AD510"/>
    <mergeCell ref="AJ504:AL504"/>
    <mergeCell ref="C506:D507"/>
    <mergeCell ref="E506:E507"/>
    <mergeCell ref="F506:H507"/>
    <mergeCell ref="I506:K506"/>
    <mergeCell ref="L506:L507"/>
    <mergeCell ref="M506:O507"/>
    <mergeCell ref="P506:P507"/>
    <mergeCell ref="Q506:S506"/>
    <mergeCell ref="T506:T507"/>
    <mergeCell ref="W500:Y501"/>
    <mergeCell ref="Z500:AF501"/>
    <mergeCell ref="J501:M501"/>
    <mergeCell ref="O501:R501"/>
    <mergeCell ref="AJ502:AL502"/>
    <mergeCell ref="K503:N503"/>
    <mergeCell ref="AJ503:AL503"/>
    <mergeCell ref="C498:D499"/>
    <mergeCell ref="E498:E499"/>
    <mergeCell ref="H498:K498"/>
    <mergeCell ref="AA498:AF499"/>
    <mergeCell ref="H499:K499"/>
    <mergeCell ref="E500:E501"/>
    <mergeCell ref="H500:L500"/>
    <mergeCell ref="N500:R500"/>
    <mergeCell ref="S500:S501"/>
    <mergeCell ref="T500:V501"/>
    <mergeCell ref="T494:T495"/>
    <mergeCell ref="U494:X495"/>
    <mergeCell ref="Y494:Z495"/>
    <mergeCell ref="AA494:AF495"/>
    <mergeCell ref="F495:H495"/>
    <mergeCell ref="O495:Q495"/>
    <mergeCell ref="R490:T491"/>
    <mergeCell ref="U490:W491"/>
    <mergeCell ref="K491:M491"/>
    <mergeCell ref="C494:D495"/>
    <mergeCell ref="E494:E495"/>
    <mergeCell ref="F494:H494"/>
    <mergeCell ref="I494:K495"/>
    <mergeCell ref="L494:L495"/>
    <mergeCell ref="M494:N494"/>
    <mergeCell ref="P494:R494"/>
    <mergeCell ref="N488:N489"/>
    <mergeCell ref="AA488:AF489"/>
    <mergeCell ref="K489:M489"/>
    <mergeCell ref="E490:E491"/>
    <mergeCell ref="F490:H491"/>
    <mergeCell ref="I490:I491"/>
    <mergeCell ref="J490:J491"/>
    <mergeCell ref="K490:M490"/>
    <mergeCell ref="N490:N491"/>
    <mergeCell ref="Q490:Q491"/>
    <mergeCell ref="C488:D489"/>
    <mergeCell ref="E488:E489"/>
    <mergeCell ref="F488:H489"/>
    <mergeCell ref="I488:I489"/>
    <mergeCell ref="J488:J489"/>
    <mergeCell ref="K488:M488"/>
    <mergeCell ref="R483:T484"/>
    <mergeCell ref="U483:W484"/>
    <mergeCell ref="AA483:AF484"/>
    <mergeCell ref="H484:J484"/>
    <mergeCell ref="N484:P484"/>
    <mergeCell ref="L485:N485"/>
    <mergeCell ref="C483:D484"/>
    <mergeCell ref="E483:E484"/>
    <mergeCell ref="H483:J483"/>
    <mergeCell ref="K483:K484"/>
    <mergeCell ref="N483:P483"/>
    <mergeCell ref="Q483:Q484"/>
    <mergeCell ref="X477:Z478"/>
    <mergeCell ref="AA477:AF478"/>
    <mergeCell ref="F478:G478"/>
    <mergeCell ref="L478:M478"/>
    <mergeCell ref="R479:T479"/>
    <mergeCell ref="R480:T480"/>
    <mergeCell ref="N477:N478"/>
    <mergeCell ref="O477:O478"/>
    <mergeCell ref="P477:P478"/>
    <mergeCell ref="Q477:S478"/>
    <mergeCell ref="T477:T478"/>
    <mergeCell ref="U477:W478"/>
    <mergeCell ref="B472:AG473"/>
    <mergeCell ref="C474:D474"/>
    <mergeCell ref="F474:H474"/>
    <mergeCell ref="I474:J474"/>
    <mergeCell ref="C477:D478"/>
    <mergeCell ref="E477:E478"/>
    <mergeCell ref="F477:G477"/>
    <mergeCell ref="H477:J478"/>
    <mergeCell ref="K477:K478"/>
    <mergeCell ref="L477:M477"/>
    <mergeCell ref="AA465:AF466"/>
    <mergeCell ref="F466:H466"/>
    <mergeCell ref="J466:L466"/>
    <mergeCell ref="C469:D470"/>
    <mergeCell ref="E469:E470"/>
    <mergeCell ref="F469:H470"/>
    <mergeCell ref="I469:K469"/>
    <mergeCell ref="AA469:AF470"/>
    <mergeCell ref="I470:K470"/>
    <mergeCell ref="S462:U462"/>
    <mergeCell ref="C465:D466"/>
    <mergeCell ref="E465:E466"/>
    <mergeCell ref="F465:H465"/>
    <mergeCell ref="I465:I466"/>
    <mergeCell ref="J465:L465"/>
    <mergeCell ref="M465:M466"/>
    <mergeCell ref="N465:P466"/>
    <mergeCell ref="Q465:R466"/>
    <mergeCell ref="N454:P455"/>
    <mergeCell ref="Q454:R455"/>
    <mergeCell ref="F455:H455"/>
    <mergeCell ref="J455:L455"/>
    <mergeCell ref="C462:D462"/>
    <mergeCell ref="K462:M462"/>
    <mergeCell ref="O462:Q462"/>
    <mergeCell ref="N450:P450"/>
    <mergeCell ref="R450:S450"/>
    <mergeCell ref="T450:V450"/>
    <mergeCell ref="F451:H451"/>
    <mergeCell ref="C454:D455"/>
    <mergeCell ref="E454:E455"/>
    <mergeCell ref="F454:H454"/>
    <mergeCell ref="I454:I455"/>
    <mergeCell ref="J454:L454"/>
    <mergeCell ref="M454:M455"/>
    <mergeCell ref="C446:G446"/>
    <mergeCell ref="H446:I446"/>
    <mergeCell ref="K446:M446"/>
    <mergeCell ref="C449:D449"/>
    <mergeCell ref="F450:H450"/>
    <mergeCell ref="J450:L450"/>
    <mergeCell ref="C444:G444"/>
    <mergeCell ref="H444:I444"/>
    <mergeCell ref="K444:M444"/>
    <mergeCell ref="C445:G445"/>
    <mergeCell ref="H445:I445"/>
    <mergeCell ref="K445:M445"/>
    <mergeCell ref="M438:M439"/>
    <mergeCell ref="N438:P439"/>
    <mergeCell ref="Q438:R439"/>
    <mergeCell ref="F439:H439"/>
    <mergeCell ref="J439:L439"/>
    <mergeCell ref="C443:G443"/>
    <mergeCell ref="H443:I443"/>
    <mergeCell ref="K443:M443"/>
    <mergeCell ref="F435:H435"/>
    <mergeCell ref="C438:D439"/>
    <mergeCell ref="E438:E439"/>
    <mergeCell ref="F438:H438"/>
    <mergeCell ref="I438:I439"/>
    <mergeCell ref="J438:L438"/>
    <mergeCell ref="C433:D433"/>
    <mergeCell ref="F434:H434"/>
    <mergeCell ref="J434:L434"/>
    <mergeCell ref="N434:P434"/>
    <mergeCell ref="R434:S434"/>
    <mergeCell ref="T434:V434"/>
    <mergeCell ref="C429:G429"/>
    <mergeCell ref="H429:I429"/>
    <mergeCell ref="K429:M429"/>
    <mergeCell ref="C430:G430"/>
    <mergeCell ref="H430:I430"/>
    <mergeCell ref="K430:M430"/>
    <mergeCell ref="U413:U414"/>
    <mergeCell ref="C423:D423"/>
    <mergeCell ref="C427:G427"/>
    <mergeCell ref="H427:I427"/>
    <mergeCell ref="K427:M427"/>
    <mergeCell ref="C428:G428"/>
    <mergeCell ref="H428:I428"/>
    <mergeCell ref="K428:M428"/>
    <mergeCell ref="G414:I414"/>
    <mergeCell ref="C419:D420"/>
    <mergeCell ref="E419:E420"/>
    <mergeCell ref="F419:H419"/>
    <mergeCell ref="J419:M420"/>
    <mergeCell ref="N419:T420"/>
    <mergeCell ref="F420:H420"/>
    <mergeCell ref="K413:L414"/>
    <mergeCell ref="R413:R414"/>
    <mergeCell ref="S413:T414"/>
    <mergeCell ref="Y413:Z414"/>
    <mergeCell ref="V408:X409"/>
    <mergeCell ref="Y408:Z409"/>
    <mergeCell ref="AA413:AB414"/>
    <mergeCell ref="AA408:AB409"/>
    <mergeCell ref="AC413:AD414"/>
    <mergeCell ref="AC408:AD409"/>
    <mergeCell ref="V413:X414"/>
    <mergeCell ref="G409:I409"/>
    <mergeCell ref="C413:D414"/>
    <mergeCell ref="E413:E414"/>
    <mergeCell ref="F413:F414"/>
    <mergeCell ref="G413:I413"/>
    <mergeCell ref="J413:J414"/>
    <mergeCell ref="B402:AG404"/>
    <mergeCell ref="C408:D409"/>
    <mergeCell ref="E408:E409"/>
    <mergeCell ref="F408:F409"/>
    <mergeCell ref="G408:I408"/>
    <mergeCell ref="J408:J409"/>
    <mergeCell ref="K408:L409"/>
    <mergeCell ref="R408:R409"/>
    <mergeCell ref="S408:T409"/>
    <mergeCell ref="U408:U409"/>
    <mergeCell ref="F396:H396"/>
    <mergeCell ref="J396:L396"/>
    <mergeCell ref="E397:E398"/>
    <mergeCell ref="F397:F398"/>
    <mergeCell ref="G397:I397"/>
    <mergeCell ref="J397:J398"/>
    <mergeCell ref="K397:L398"/>
    <mergeCell ref="G398:I398"/>
    <mergeCell ref="Q394:Q395"/>
    <mergeCell ref="R394:R395"/>
    <mergeCell ref="S394:S395"/>
    <mergeCell ref="T394:V395"/>
    <mergeCell ref="W394:W395"/>
    <mergeCell ref="F395:H395"/>
    <mergeCell ref="L395:N395"/>
    <mergeCell ref="C394:D395"/>
    <mergeCell ref="E394:E395"/>
    <mergeCell ref="F394:H394"/>
    <mergeCell ref="I394:I395"/>
    <mergeCell ref="J394:L394"/>
    <mergeCell ref="N394:P394"/>
    <mergeCell ref="Y387:AD388"/>
    <mergeCell ref="F388:H388"/>
    <mergeCell ref="J388:M388"/>
    <mergeCell ref="J390:K390"/>
    <mergeCell ref="M390:O390"/>
    <mergeCell ref="J391:K391"/>
    <mergeCell ref="M391:O391"/>
    <mergeCell ref="C384:D384"/>
    <mergeCell ref="K384:M384"/>
    <mergeCell ref="O384:Q384"/>
    <mergeCell ref="S384:U384"/>
    <mergeCell ref="C387:D388"/>
    <mergeCell ref="E387:E388"/>
    <mergeCell ref="F387:H387"/>
    <mergeCell ref="I387:I388"/>
    <mergeCell ref="J387:M387"/>
    <mergeCell ref="N387:O388"/>
    <mergeCell ref="F375:H375"/>
    <mergeCell ref="L375:N375"/>
    <mergeCell ref="F376:H376"/>
    <mergeCell ref="J376:L376"/>
    <mergeCell ref="E377:E378"/>
    <mergeCell ref="F377:F378"/>
    <mergeCell ref="G377:I377"/>
    <mergeCell ref="J377:J378"/>
    <mergeCell ref="K377:L378"/>
    <mergeCell ref="G378:I378"/>
    <mergeCell ref="N374:P374"/>
    <mergeCell ref="Q374:Q375"/>
    <mergeCell ref="R374:R375"/>
    <mergeCell ref="S374:S375"/>
    <mergeCell ref="T374:V375"/>
    <mergeCell ref="W374:W375"/>
    <mergeCell ref="M370:N370"/>
    <mergeCell ref="Q370:S370"/>
    <mergeCell ref="V370:W370"/>
    <mergeCell ref="Z370:AB370"/>
    <mergeCell ref="M371:O371"/>
    <mergeCell ref="C374:D375"/>
    <mergeCell ref="E374:E375"/>
    <mergeCell ref="F374:H374"/>
    <mergeCell ref="I374:I375"/>
    <mergeCell ref="J374:L374"/>
    <mergeCell ref="M368:T368"/>
    <mergeCell ref="V368:AC368"/>
    <mergeCell ref="H369:K369"/>
    <mergeCell ref="M369:N369"/>
    <mergeCell ref="Q369:S369"/>
    <mergeCell ref="V369:W369"/>
    <mergeCell ref="Z369:AB369"/>
    <mergeCell ref="Z365:AA365"/>
    <mergeCell ref="AC365:AE365"/>
    <mergeCell ref="J366:K366"/>
    <mergeCell ref="M366:O366"/>
    <mergeCell ref="Z366:AA366"/>
    <mergeCell ref="AC366:AE366"/>
    <mergeCell ref="J363:K363"/>
    <mergeCell ref="M363:O363"/>
    <mergeCell ref="J364:K364"/>
    <mergeCell ref="M364:O364"/>
    <mergeCell ref="J365:K365"/>
    <mergeCell ref="M365:O365"/>
    <mergeCell ref="C357:D357"/>
    <mergeCell ref="K357:M357"/>
    <mergeCell ref="O357:Q357"/>
    <mergeCell ref="Y360:AD361"/>
    <mergeCell ref="F361:H361"/>
    <mergeCell ref="J361:M361"/>
    <mergeCell ref="I348:I349"/>
    <mergeCell ref="J348:L348"/>
    <mergeCell ref="M348:M349"/>
    <mergeCell ref="S357:U357"/>
    <mergeCell ref="C360:D361"/>
    <mergeCell ref="E360:E361"/>
    <mergeCell ref="F360:H360"/>
    <mergeCell ref="I360:I361"/>
    <mergeCell ref="J360:M360"/>
    <mergeCell ref="N360:O361"/>
    <mergeCell ref="C344:D344"/>
    <mergeCell ref="L344:N344"/>
    <mergeCell ref="Q344:S344"/>
    <mergeCell ref="N348:P349"/>
    <mergeCell ref="Q348:R349"/>
    <mergeCell ref="F349:H349"/>
    <mergeCell ref="J349:L349"/>
    <mergeCell ref="C348:D349"/>
    <mergeCell ref="E348:E349"/>
    <mergeCell ref="F348:H348"/>
    <mergeCell ref="U344:W344"/>
    <mergeCell ref="Z344:AB344"/>
    <mergeCell ref="F345:H345"/>
    <mergeCell ref="K338:M338"/>
    <mergeCell ref="O338:Q338"/>
    <mergeCell ref="K339:M339"/>
    <mergeCell ref="H340:I340"/>
    <mergeCell ref="K340:M340"/>
    <mergeCell ref="F343:H343"/>
    <mergeCell ref="R334:T334"/>
    <mergeCell ref="V334:X334"/>
    <mergeCell ref="H335:I335"/>
    <mergeCell ref="K335:L335"/>
    <mergeCell ref="K336:M336"/>
    <mergeCell ref="H337:I337"/>
    <mergeCell ref="K337:M337"/>
    <mergeCell ref="O337:Q337"/>
    <mergeCell ref="F327:H327"/>
    <mergeCell ref="F330:H330"/>
    <mergeCell ref="C331:D331"/>
    <mergeCell ref="F332:H332"/>
    <mergeCell ref="H334:I334"/>
    <mergeCell ref="O334:P334"/>
    <mergeCell ref="B318:AG318"/>
    <mergeCell ref="K319:L319"/>
    <mergeCell ref="Q319:R319"/>
    <mergeCell ref="B320:AG321"/>
    <mergeCell ref="E319:F319"/>
    <mergeCell ref="C326:D327"/>
    <mergeCell ref="E326:E327"/>
    <mergeCell ref="F326:H326"/>
    <mergeCell ref="J326:M327"/>
    <mergeCell ref="N326:T327"/>
    <mergeCell ref="M230:O230"/>
    <mergeCell ref="Y242:AA242"/>
    <mergeCell ref="M243:O243"/>
    <mergeCell ref="M251:M252"/>
    <mergeCell ref="Q229:R229"/>
    <mergeCell ref="T229:U229"/>
    <mergeCell ref="F246:V246"/>
    <mergeCell ref="F247:H247"/>
    <mergeCell ref="K247:M247"/>
    <mergeCell ref="O247:Q247"/>
    <mergeCell ref="H224:I224"/>
    <mergeCell ref="K224:M224"/>
    <mergeCell ref="N224:V224"/>
    <mergeCell ref="E229:K229"/>
    <mergeCell ref="M229:O229"/>
    <mergeCell ref="N226:O226"/>
    <mergeCell ref="Q226:R226"/>
    <mergeCell ref="V226:X226"/>
    <mergeCell ref="H220:I220"/>
    <mergeCell ref="K220:M220"/>
    <mergeCell ref="H221:I221"/>
    <mergeCell ref="K221:M221"/>
    <mergeCell ref="C222:G223"/>
    <mergeCell ref="H222:I222"/>
    <mergeCell ref="L222:M222"/>
    <mergeCell ref="K218:M219"/>
    <mergeCell ref="N218:P219"/>
    <mergeCell ref="Y209:Y210"/>
    <mergeCell ref="O210:Q210"/>
    <mergeCell ref="Z209:AB210"/>
    <mergeCell ref="AC209:AD210"/>
    <mergeCell ref="P214:R214"/>
    <mergeCell ref="T214:V214"/>
    <mergeCell ref="X214:Z214"/>
    <mergeCell ref="V212:X212"/>
    <mergeCell ref="S209:U210"/>
    <mergeCell ref="W209:X210"/>
    <mergeCell ref="L214:N214"/>
    <mergeCell ref="L215:N215"/>
    <mergeCell ref="C218:G219"/>
    <mergeCell ref="N209:N210"/>
    <mergeCell ref="O209:Q209"/>
    <mergeCell ref="R209:R210"/>
    <mergeCell ref="H218:I219"/>
    <mergeCell ref="J218:J219"/>
    <mergeCell ref="K208:M208"/>
    <mergeCell ref="C209:G210"/>
    <mergeCell ref="H209:I210"/>
    <mergeCell ref="J209:J210"/>
    <mergeCell ref="K209:M209"/>
    <mergeCell ref="K210:M210"/>
    <mergeCell ref="C198:D198"/>
    <mergeCell ref="H202:I202"/>
    <mergeCell ref="K202:L202"/>
    <mergeCell ref="N202:O202"/>
    <mergeCell ref="Q202:S202"/>
    <mergeCell ref="W202:Y202"/>
    <mergeCell ref="F198:V198"/>
    <mergeCell ref="W198:AG198"/>
    <mergeCell ref="B190:AG191"/>
    <mergeCell ref="C194:D195"/>
    <mergeCell ref="E194:E195"/>
    <mergeCell ref="F194:H194"/>
    <mergeCell ref="J194:M195"/>
    <mergeCell ref="N194:T195"/>
    <mergeCell ref="F195:H195"/>
    <mergeCell ref="N186:P186"/>
    <mergeCell ref="Q186:Q187"/>
    <mergeCell ref="R186:T187"/>
    <mergeCell ref="U186:U187"/>
    <mergeCell ref="V186:X187"/>
    <mergeCell ref="Y186:Z187"/>
    <mergeCell ref="N187:P187"/>
    <mergeCell ref="C186:D187"/>
    <mergeCell ref="E186:E187"/>
    <mergeCell ref="F186:H186"/>
    <mergeCell ref="I186:I187"/>
    <mergeCell ref="J186:L187"/>
    <mergeCell ref="M186:M187"/>
    <mergeCell ref="F187:H187"/>
    <mergeCell ref="R183:T183"/>
    <mergeCell ref="U183:U184"/>
    <mergeCell ref="V183:X184"/>
    <mergeCell ref="Y183:Z184"/>
    <mergeCell ref="F184:L184"/>
    <mergeCell ref="P184:R184"/>
    <mergeCell ref="C183:D184"/>
    <mergeCell ref="E183:E184"/>
    <mergeCell ref="F183:H183"/>
    <mergeCell ref="J183:L183"/>
    <mergeCell ref="M183:M184"/>
    <mergeCell ref="N183:P183"/>
    <mergeCell ref="Y179:AA179"/>
    <mergeCell ref="AB179:AG179"/>
    <mergeCell ref="A180:I180"/>
    <mergeCell ref="J180:L180"/>
    <mergeCell ref="M180:O180"/>
    <mergeCell ref="P180:R180"/>
    <mergeCell ref="S180:U180"/>
    <mergeCell ref="V180:X180"/>
    <mergeCell ref="Y180:AA180"/>
    <mergeCell ref="AB180:AG180"/>
    <mergeCell ref="Y178:AA178"/>
    <mergeCell ref="A177:F177"/>
    <mergeCell ref="AB178:AG178"/>
    <mergeCell ref="A179:F179"/>
    <mergeCell ref="G179:I179"/>
    <mergeCell ref="J179:L179"/>
    <mergeCell ref="M179:O179"/>
    <mergeCell ref="P179:R179"/>
    <mergeCell ref="S179:U179"/>
    <mergeCell ref="V179:X179"/>
    <mergeCell ref="A178:I178"/>
    <mergeCell ref="J178:L178"/>
    <mergeCell ref="M178:O178"/>
    <mergeCell ref="P178:R178"/>
    <mergeCell ref="S178:U178"/>
    <mergeCell ref="V178:X178"/>
    <mergeCell ref="G177:I177"/>
    <mergeCell ref="J177:L177"/>
    <mergeCell ref="M177:O177"/>
    <mergeCell ref="P177:R177"/>
    <mergeCell ref="S177:U177"/>
    <mergeCell ref="Y175:AA175"/>
    <mergeCell ref="V176:X176"/>
    <mergeCell ref="Y176:AA176"/>
    <mergeCell ref="V177:X177"/>
    <mergeCell ref="Y177:AA177"/>
    <mergeCell ref="A176:F176"/>
    <mergeCell ref="G176:I176"/>
    <mergeCell ref="J176:L176"/>
    <mergeCell ref="M176:O176"/>
    <mergeCell ref="P176:R176"/>
    <mergeCell ref="S176:U176"/>
    <mergeCell ref="V174:X174"/>
    <mergeCell ref="Y174:AA174"/>
    <mergeCell ref="AB174:AG177"/>
    <mergeCell ref="A175:F175"/>
    <mergeCell ref="G175:I175"/>
    <mergeCell ref="J175:L175"/>
    <mergeCell ref="M175:O175"/>
    <mergeCell ref="P175:R175"/>
    <mergeCell ref="S175:U175"/>
    <mergeCell ref="V175:X175"/>
    <mergeCell ref="A174:F174"/>
    <mergeCell ref="G174:I174"/>
    <mergeCell ref="J174:L174"/>
    <mergeCell ref="M174:O174"/>
    <mergeCell ref="P174:R174"/>
    <mergeCell ref="S174:U174"/>
    <mergeCell ref="AB172:AG173"/>
    <mergeCell ref="J173:L173"/>
    <mergeCell ref="M173:O173"/>
    <mergeCell ref="P173:R173"/>
    <mergeCell ref="S173:U173"/>
    <mergeCell ref="V173:X173"/>
    <mergeCell ref="Y173:AA173"/>
    <mergeCell ref="F167:H167"/>
    <mergeCell ref="N167:P167"/>
    <mergeCell ref="A171:S171"/>
    <mergeCell ref="T171:U171"/>
    <mergeCell ref="V171:AG171"/>
    <mergeCell ref="A172:F173"/>
    <mergeCell ref="G172:I173"/>
    <mergeCell ref="J172:O172"/>
    <mergeCell ref="P172:U172"/>
    <mergeCell ref="V172:AA172"/>
    <mergeCell ref="N166:P166"/>
    <mergeCell ref="Q166:Q167"/>
    <mergeCell ref="R166:T167"/>
    <mergeCell ref="U166:U167"/>
    <mergeCell ref="V166:X167"/>
    <mergeCell ref="Y166:Z167"/>
    <mergeCell ref="V163:X164"/>
    <mergeCell ref="Y163:Z164"/>
    <mergeCell ref="F164:L164"/>
    <mergeCell ref="P164:R164"/>
    <mergeCell ref="C166:D167"/>
    <mergeCell ref="E166:E167"/>
    <mergeCell ref="F166:H166"/>
    <mergeCell ref="I166:I167"/>
    <mergeCell ref="J166:L167"/>
    <mergeCell ref="M166:M167"/>
    <mergeCell ref="Y160:AA160"/>
    <mergeCell ref="AB160:AG160"/>
    <mergeCell ref="C163:D164"/>
    <mergeCell ref="E163:E164"/>
    <mergeCell ref="F163:H163"/>
    <mergeCell ref="J163:L163"/>
    <mergeCell ref="M163:M164"/>
    <mergeCell ref="N163:P163"/>
    <mergeCell ref="R163:T163"/>
    <mergeCell ref="U163:U164"/>
    <mergeCell ref="A160:I160"/>
    <mergeCell ref="J160:L160"/>
    <mergeCell ref="M160:O160"/>
    <mergeCell ref="P160:R160"/>
    <mergeCell ref="S160:U160"/>
    <mergeCell ref="V160:X160"/>
    <mergeCell ref="AB158:AG158"/>
    <mergeCell ref="A159:F159"/>
    <mergeCell ref="G159:I159"/>
    <mergeCell ref="J159:L159"/>
    <mergeCell ref="M159:O159"/>
    <mergeCell ref="P159:R159"/>
    <mergeCell ref="S159:U159"/>
    <mergeCell ref="V159:X159"/>
    <mergeCell ref="Y159:AA159"/>
    <mergeCell ref="AB159:AG159"/>
    <mergeCell ref="Y157:AA157"/>
    <mergeCell ref="A158:I158"/>
    <mergeCell ref="J158:L158"/>
    <mergeCell ref="M158:O158"/>
    <mergeCell ref="P158:R158"/>
    <mergeCell ref="S158:U158"/>
    <mergeCell ref="V158:X158"/>
    <mergeCell ref="Y158:AA158"/>
    <mergeCell ref="A157:F157"/>
    <mergeCell ref="G157:I157"/>
    <mergeCell ref="J157:L157"/>
    <mergeCell ref="M157:O157"/>
    <mergeCell ref="P157:R157"/>
    <mergeCell ref="S157:U157"/>
    <mergeCell ref="V155:X155"/>
    <mergeCell ref="V157:X157"/>
    <mergeCell ref="Y155:AA155"/>
    <mergeCell ref="A156:F156"/>
    <mergeCell ref="G156:I156"/>
    <mergeCell ref="J156:L156"/>
    <mergeCell ref="M156:O156"/>
    <mergeCell ref="P156:R156"/>
    <mergeCell ref="S156:U156"/>
    <mergeCell ref="V156:X156"/>
    <mergeCell ref="Y156:AA156"/>
    <mergeCell ref="S154:U154"/>
    <mergeCell ref="V154:X154"/>
    <mergeCell ref="Y154:AA154"/>
    <mergeCell ref="AB154:AG157"/>
    <mergeCell ref="A155:F155"/>
    <mergeCell ref="G155:I155"/>
    <mergeCell ref="J155:L155"/>
    <mergeCell ref="M155:O155"/>
    <mergeCell ref="P155:R155"/>
    <mergeCell ref="S155:U155"/>
    <mergeCell ref="M153:O153"/>
    <mergeCell ref="P153:R153"/>
    <mergeCell ref="S153:U153"/>
    <mergeCell ref="V153:X153"/>
    <mergeCell ref="Y153:AA153"/>
    <mergeCell ref="A154:F154"/>
    <mergeCell ref="G154:I154"/>
    <mergeCell ref="J154:L154"/>
    <mergeCell ref="M154:O154"/>
    <mergeCell ref="P154:R154"/>
    <mergeCell ref="A151:S151"/>
    <mergeCell ref="T151:U151"/>
    <mergeCell ref="V151:AG151"/>
    <mergeCell ref="A152:F153"/>
    <mergeCell ref="G152:I153"/>
    <mergeCell ref="J152:O152"/>
    <mergeCell ref="P152:U152"/>
    <mergeCell ref="V152:AA152"/>
    <mergeCell ref="AB152:AG153"/>
    <mergeCell ref="J153:L153"/>
    <mergeCell ref="AA148:AC148"/>
    <mergeCell ref="H149:I149"/>
    <mergeCell ref="K149:M149"/>
    <mergeCell ref="O149:Q149"/>
    <mergeCell ref="S149:U149"/>
    <mergeCell ref="W149:Y149"/>
    <mergeCell ref="AA149:AC149"/>
    <mergeCell ref="U118:X118"/>
    <mergeCell ref="K147:M147"/>
    <mergeCell ref="O147:Q147"/>
    <mergeCell ref="S147:U147"/>
    <mergeCell ref="H148:I148"/>
    <mergeCell ref="K148:M148"/>
    <mergeCell ref="O148:Q148"/>
    <mergeCell ref="S148:U148"/>
    <mergeCell ref="W148:Y148"/>
    <mergeCell ref="A115:B118"/>
    <mergeCell ref="C115:C116"/>
    <mergeCell ref="D115:G116"/>
    <mergeCell ref="H146:I146"/>
    <mergeCell ref="K146:M146"/>
    <mergeCell ref="O146:Q146"/>
    <mergeCell ref="Q115:T115"/>
    <mergeCell ref="H115:K116"/>
    <mergeCell ref="S146:U146"/>
    <mergeCell ref="Q118:T118"/>
    <mergeCell ref="Y116:AC116"/>
    <mergeCell ref="Y118:AC118"/>
    <mergeCell ref="Y117:AC117"/>
    <mergeCell ref="B139:AG142"/>
    <mergeCell ref="C117:C118"/>
    <mergeCell ref="D117:G118"/>
    <mergeCell ref="H117:K118"/>
    <mergeCell ref="L117:P118"/>
    <mergeCell ref="Q117:T117"/>
    <mergeCell ref="U117:X117"/>
    <mergeCell ref="D110:G114"/>
    <mergeCell ref="A105:D105"/>
    <mergeCell ref="E105:H105"/>
    <mergeCell ref="U115:X115"/>
    <mergeCell ref="Y115:AC115"/>
    <mergeCell ref="L115:P116"/>
    <mergeCell ref="R105:W105"/>
    <mergeCell ref="X105:AC105"/>
    <mergeCell ref="Q116:T116"/>
    <mergeCell ref="U116:X116"/>
    <mergeCell ref="Y110:AC114"/>
    <mergeCell ref="Q114:T114"/>
    <mergeCell ref="U114:X114"/>
    <mergeCell ref="AD105:AG105"/>
    <mergeCell ref="B108:AF108"/>
    <mergeCell ref="A109:B114"/>
    <mergeCell ref="C109:C114"/>
    <mergeCell ref="D109:T109"/>
    <mergeCell ref="U109:V109"/>
    <mergeCell ref="W109:AG109"/>
    <mergeCell ref="M104:Q104"/>
    <mergeCell ref="R104:W104"/>
    <mergeCell ref="X104:AC104"/>
    <mergeCell ref="AD104:AG104"/>
    <mergeCell ref="H110:K114"/>
    <mergeCell ref="L110:P114"/>
    <mergeCell ref="AD110:AG114"/>
    <mergeCell ref="I105:L105"/>
    <mergeCell ref="M105:Q105"/>
    <mergeCell ref="Q110:X113"/>
    <mergeCell ref="AD99:AG102"/>
    <mergeCell ref="A103:C104"/>
    <mergeCell ref="E103:H103"/>
    <mergeCell ref="I103:L103"/>
    <mergeCell ref="M103:Q103"/>
    <mergeCell ref="R103:W103"/>
    <mergeCell ref="X103:AC103"/>
    <mergeCell ref="AD103:AG103"/>
    <mergeCell ref="E104:H104"/>
    <mergeCell ref="I104:L104"/>
    <mergeCell ref="A98:C102"/>
    <mergeCell ref="D98:D102"/>
    <mergeCell ref="E98:U98"/>
    <mergeCell ref="V98:W98"/>
    <mergeCell ref="X98:AG98"/>
    <mergeCell ref="E99:H102"/>
    <mergeCell ref="I99:L102"/>
    <mergeCell ref="M99:Q102"/>
    <mergeCell ref="R99:W102"/>
    <mergeCell ref="X99:AC102"/>
    <mergeCell ref="L72:M72"/>
    <mergeCell ref="L73:M73"/>
    <mergeCell ref="L74:M74"/>
    <mergeCell ref="L75:M75"/>
    <mergeCell ref="L76:M76"/>
    <mergeCell ref="B97:AF97"/>
    <mergeCell ref="L77:M77"/>
    <mergeCell ref="L78:M78"/>
    <mergeCell ref="N63:O63"/>
    <mergeCell ref="N64:O64"/>
    <mergeCell ref="L66:M66"/>
    <mergeCell ref="L67:M67"/>
    <mergeCell ref="L68:M68"/>
    <mergeCell ref="J69:M69"/>
    <mergeCell ref="L70:M70"/>
    <mergeCell ref="L71:M71"/>
    <mergeCell ref="AK57:AL57"/>
    <mergeCell ref="AM57:AN57"/>
    <mergeCell ref="AO57:AP57"/>
    <mergeCell ref="AQ57:AQ58"/>
    <mergeCell ref="N58:O58"/>
    <mergeCell ref="N59:O59"/>
    <mergeCell ref="AQ59:AQ62"/>
    <mergeCell ref="N60:O60"/>
    <mergeCell ref="N62:O62"/>
    <mergeCell ref="M61:O61"/>
    <mergeCell ref="L53:M53"/>
    <mergeCell ref="K55:O55"/>
    <mergeCell ref="N56:O56"/>
    <mergeCell ref="N57:O57"/>
    <mergeCell ref="L47:M47"/>
    <mergeCell ref="L48:M48"/>
    <mergeCell ref="L49:M49"/>
    <mergeCell ref="L50:M50"/>
    <mergeCell ref="L51:M51"/>
    <mergeCell ref="L52:M52"/>
    <mergeCell ref="AD115:AG116"/>
    <mergeCell ref="AD117:AG118"/>
    <mergeCell ref="AN35:AN36"/>
    <mergeCell ref="L46:M46"/>
    <mergeCell ref="AJ35:AJ36"/>
    <mergeCell ref="AK35:AK36"/>
    <mergeCell ref="AL35:AL36"/>
    <mergeCell ref="AM35:AM36"/>
    <mergeCell ref="AI57:AI58"/>
    <mergeCell ref="AJ57:AJ58"/>
    <mergeCell ref="AA202:AC202"/>
    <mergeCell ref="H203:I203"/>
    <mergeCell ref="K203:O203"/>
    <mergeCell ref="Q203:S203"/>
    <mergeCell ref="H206:I206"/>
    <mergeCell ref="K206:M206"/>
    <mergeCell ref="U203:W203"/>
    <mergeCell ref="Y203:AA203"/>
    <mergeCell ref="L235:O235"/>
    <mergeCell ref="P235:R235"/>
    <mergeCell ref="T235:V235"/>
    <mergeCell ref="H236:I236"/>
    <mergeCell ref="L236:N236"/>
    <mergeCell ref="P236:R236"/>
    <mergeCell ref="T236:V236"/>
    <mergeCell ref="H207:I207"/>
    <mergeCell ref="K207:M207"/>
    <mergeCell ref="H208:I208"/>
    <mergeCell ref="C233:G234"/>
    <mergeCell ref="H233:I234"/>
    <mergeCell ref="J233:J234"/>
    <mergeCell ref="K233:M234"/>
    <mergeCell ref="N233:P234"/>
    <mergeCell ref="H237:I237"/>
    <mergeCell ref="K237:M237"/>
    <mergeCell ref="H238:I238"/>
    <mergeCell ref="K238:M238"/>
    <mergeCell ref="N238:V238"/>
    <mergeCell ref="M242:O242"/>
    <mergeCell ref="Q242:S242"/>
    <mergeCell ref="U242:W242"/>
    <mergeCell ref="S247:U247"/>
    <mergeCell ref="F248:H248"/>
    <mergeCell ref="C251:D252"/>
    <mergeCell ref="E251:E252"/>
    <mergeCell ref="F251:H251"/>
    <mergeCell ref="I251:I252"/>
    <mergeCell ref="J251:L251"/>
    <mergeCell ref="N251:P252"/>
    <mergeCell ref="Q251:R252"/>
    <mergeCell ref="F252:H252"/>
    <mergeCell ref="L254:M254"/>
    <mergeCell ref="O254:Q254"/>
    <mergeCell ref="B256:C256"/>
    <mergeCell ref="E256:F256"/>
    <mergeCell ref="H260:I260"/>
    <mergeCell ref="K260:L260"/>
    <mergeCell ref="N260:O260"/>
    <mergeCell ref="Q260:S260"/>
    <mergeCell ref="W260:Y260"/>
    <mergeCell ref="AA260:AC260"/>
    <mergeCell ref="AJ260:AK260"/>
    <mergeCell ref="H261:I261"/>
    <mergeCell ref="K261:O261"/>
    <mergeCell ref="Q261:S261"/>
    <mergeCell ref="U261:W261"/>
    <mergeCell ref="Y261:AA261"/>
  </mergeCells>
  <conditionalFormatting sqref="V640:W640 AC408 AC413 AD103:AG105 AD119:AG135 AD115 AD117">
    <cfRule type="cellIs" priority="2" dxfId="32" operator="equal" stopIfTrue="1">
      <formula>"OUT"</formula>
    </cfRule>
  </conditionalFormatting>
  <conditionalFormatting sqref="AI596 AI600 AI610 AI606">
    <cfRule type="cellIs" priority="1" dxfId="32" operator="equal" stopIfTrue="1">
      <formula>"OUT"</formula>
    </cfRule>
  </conditionalFormatting>
  <printOptions/>
  <pageMargins left="0.7874015748031497" right="0.7874015748031497" top="0.984251968503937" bottom="0.3937007874015748" header="0.3937007874015748" footer="0"/>
  <pageSetup horizontalDpi="600" verticalDpi="600" orientation="portrait" paperSize="9" scale="97" r:id="rId2"/>
  <headerFooter>
    <oddHeader>&amp;R福井県木材利用研究会</oddHeader>
    <oddFooter xml:space="preserve">&amp;C&amp;P / &amp;N </oddFooter>
  </headerFooter>
  <rowBreaks count="15" manualBreakCount="15">
    <brk id="41" max="44" man="1"/>
    <brk id="94" max="44" man="1"/>
    <brk id="136" max="44" man="1"/>
    <brk id="187" max="44" man="1"/>
    <brk id="231" max="32" man="1"/>
    <brk id="274" max="32" man="1"/>
    <brk id="315" max="44" man="1"/>
    <brk id="350" max="44" man="1"/>
    <brk id="399" max="44" man="1"/>
    <brk id="415" max="44" man="1"/>
    <brk id="456" max="44" man="1"/>
    <brk id="507" max="44" man="1"/>
    <brk id="539" max="44" man="1"/>
    <brk id="584" max="44" man="1"/>
    <brk id="611" max="4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DELTA</dc:creator>
  <cp:keywords/>
  <dc:description/>
  <cp:lastModifiedBy>DELTA</cp:lastModifiedBy>
  <cp:lastPrinted>2018-07-27T09:03:45Z</cp:lastPrinted>
  <dcterms:created xsi:type="dcterms:W3CDTF">2009-07-12T01:26:31Z</dcterms:created>
  <dcterms:modified xsi:type="dcterms:W3CDTF">2018-07-30T14:33:48Z</dcterms:modified>
  <cp:category/>
  <cp:version/>
  <cp:contentType/>
  <cp:contentStatus/>
</cp:coreProperties>
</file>